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api.box.com/wopi/files/1008856610568/WOPIServiceId_TP_BOX_2/WOPIUserId_11255340236/"/>
    </mc:Choice>
  </mc:AlternateContent>
  <xr:revisionPtr revIDLastSave="239" documentId="13_ncr:1_{E3C00100-BB7D-440C-B5FD-3F0BA6DB414B}" xr6:coauthVersionLast="47" xr6:coauthVersionMax="47" xr10:uidLastSave="{CF14D64B-1F90-49D2-8C0F-D55AFA08DCCF}"/>
  <bookViews>
    <workbookView xWindow="-108" yWindow="-108" windowWidth="23256" windowHeight="12576" xr2:uid="{0ED689D7-9D63-46AB-B398-856FAB074910}"/>
  </bookViews>
  <sheets>
    <sheet name="Dashboard" sheetId="12" r:id="rId1"/>
    <sheet name="ACC Inputs" sheetId="8" r:id="rId2"/>
    <sheet name="Refrigerant Leakage" sheetId="10" r:id="rId3"/>
    <sheet name="Refrigerant GWPs" sheetId="11" r:id="rId4"/>
    <sheet name="Change Log" sheetId="13" r:id="rId5"/>
  </sheets>
  <externalReferences>
    <externalReference r:id="rId6"/>
    <externalReference r:id="rId7"/>
    <externalReference r:id="rId8"/>
  </externalReferences>
  <definedNames>
    <definedName name="__123Graph_A" localSheetId="3" hidden="1">[1]Sheet1!#REF!</definedName>
    <definedName name="__123Graph_A" localSheetId="2" hidden="1">[1]Sheet1!#REF!</definedName>
    <definedName name="__123Graph_A" hidden="1">[1]Sheet1!#REF!</definedName>
    <definedName name="__123Graph_ADA" localSheetId="3" hidden="1">[1]Sheet1!#REF!</definedName>
    <definedName name="__123Graph_ADA" localSheetId="2" hidden="1">[1]Sheet1!#REF!</definedName>
    <definedName name="__123Graph_ADA" hidden="1">[1]Sheet1!#REF!</definedName>
    <definedName name="__123Graph_ADEPREC2" localSheetId="3" hidden="1">[1]Sheet1!#REF!</definedName>
    <definedName name="__123Graph_ADEPREC2" localSheetId="2" hidden="1">[1]Sheet1!#REF!</definedName>
    <definedName name="__123Graph_ADEPREC2" hidden="1">[1]Sheet1!#REF!</definedName>
    <definedName name="__123Graph_ATREND" localSheetId="3" hidden="1">[1]Sheet1!#REF!</definedName>
    <definedName name="__123Graph_ATREND" localSheetId="2" hidden="1">[1]Sheet1!#REF!</definedName>
    <definedName name="__123Graph_ATREND" hidden="1">[1]Sheet1!#REF!</definedName>
    <definedName name="__123Graph_B" localSheetId="3" hidden="1">[1]Sheet1!#REF!</definedName>
    <definedName name="__123Graph_B" localSheetId="2" hidden="1">[1]Sheet1!#REF!</definedName>
    <definedName name="__123Graph_B" hidden="1">[1]Sheet1!#REF!</definedName>
    <definedName name="__123Graph_BTREND" localSheetId="3" hidden="1">[1]Sheet1!#REF!</definedName>
    <definedName name="__123Graph_BTREND" localSheetId="2" hidden="1">[1]Sheet1!#REF!</definedName>
    <definedName name="__123Graph_BTREND" hidden="1">[1]Sheet1!#REF!</definedName>
    <definedName name="__123Graph_C" localSheetId="3" hidden="1">[1]Sheet1!#REF!</definedName>
    <definedName name="__123Graph_C" localSheetId="2" hidden="1">[1]Sheet1!#REF!</definedName>
    <definedName name="__123Graph_C" hidden="1">[1]Sheet1!#REF!</definedName>
    <definedName name="__123Graph_CTREND" localSheetId="3" hidden="1">[1]Sheet1!#REF!</definedName>
    <definedName name="__123Graph_CTREND" localSheetId="2" hidden="1">[1]Sheet1!#REF!</definedName>
    <definedName name="__123Graph_CTREND" hidden="1">[1]Sheet1!#REF!</definedName>
    <definedName name="__123Graph_X" localSheetId="3" hidden="1">[1]Sheet1!#REF!</definedName>
    <definedName name="__123Graph_X" localSheetId="2" hidden="1">[1]Sheet1!#REF!</definedName>
    <definedName name="__123Graph_X" hidden="1">[1]Sheet1!#REF!</definedName>
    <definedName name="__123Graph_XTREND" localSheetId="3" hidden="1">[1]Sheet1!#REF!</definedName>
    <definedName name="__123Graph_XTREND" localSheetId="2" hidden="1">[1]Sheet1!#REF!</definedName>
    <definedName name="__123Graph_XTREND" hidden="1">[1]Sheet1!#REF!</definedName>
    <definedName name="__FDS_HYPERLINK_TOGGLE_STATE__" hidden="1">"ON"</definedName>
    <definedName name="_1__123Graph_A_FABP_L.WK1_FAB" localSheetId="3" hidden="1">[1]Sheet1!#REF!</definedName>
    <definedName name="_1__123Graph_A_FABP_L.WK1_FAB" localSheetId="2" hidden="1">[1]Sheet1!#REF!</definedName>
    <definedName name="_1__123Graph_A_FABP_L.WK1_FAB" hidden="1">[1]Sheet1!#REF!</definedName>
    <definedName name="_2__123Graph_ADEPREC" localSheetId="3" hidden="1">[1]Sheet1!#REF!</definedName>
    <definedName name="_2__123Graph_ADEPREC" localSheetId="2" hidden="1">[1]Sheet1!#REF!</definedName>
    <definedName name="_2__123Graph_ADEPREC" hidden="1">[1]Sheet1!#REF!</definedName>
    <definedName name="_3__123Graph_B_FABP_L.WK1_FAB" localSheetId="3" hidden="1">[1]Sheet1!#REF!</definedName>
    <definedName name="_3__123Graph_B_FABP_L.WK1_FAB" localSheetId="2" hidden="1">[1]Sheet1!#REF!</definedName>
    <definedName name="_3__123Graph_B_FABP_L.WK1_FAB" hidden="1">[1]Sheet1!#REF!</definedName>
    <definedName name="_4__123Graph_C_FABP_L.WK1_FAB" localSheetId="3" hidden="1">[1]Sheet1!#REF!</definedName>
    <definedName name="_4__123Graph_C_FABP_L.WK1_FAB" localSheetId="2" hidden="1">[1]Sheet1!#REF!</definedName>
    <definedName name="_4__123Graph_C_FABP_L.WK1_FAB" hidden="1">[1]Sheet1!#REF!</definedName>
    <definedName name="_5__123Graph_X_FABP_L.WK1_FAB" localSheetId="3" hidden="1">[1]Sheet1!#REF!</definedName>
    <definedName name="_5__123Graph_X_FABP_L.WK1_FAB" localSheetId="2" hidden="1">[1]Sheet1!#REF!</definedName>
    <definedName name="_5__123Graph_X_FABP_L.WK1_FAB" hidden="1">[1]Sheet1!#REF!</definedName>
    <definedName name="_Fill" localSheetId="3" hidden="1">#REF!</definedName>
    <definedName name="_Fill" localSheetId="2" hidden="1">#REF!</definedName>
    <definedName name="_Fill" hidden="1">#REF!</definedName>
    <definedName name="_xlnm._FilterDatabase" localSheetId="3" hidden="1">'Refrigerant GWPs'!$A$1:$E$159</definedName>
    <definedName name="_Key1" localSheetId="3" hidden="1">#REF!</definedName>
    <definedName name="_Key1" localSheetId="2" hidden="1">#REF!</definedName>
    <definedName name="_Key1" hidden="1">#REF!</definedName>
    <definedName name="_Key2" localSheetId="3" hidden="1">#REF!</definedName>
    <definedName name="_Key2" localSheetId="2" hidden="1">#REF!</definedName>
    <definedName name="_Key2" hidden="1">#REF!</definedName>
    <definedName name="_Order1" hidden="1">255</definedName>
    <definedName name="_Order2" hidden="1">255</definedName>
    <definedName name="_Sort" localSheetId="3" hidden="1">#REF!</definedName>
    <definedName name="_Sort" localSheetId="2" hidden="1">#REF!</definedName>
    <definedName name="_Sort" hidden="1">#REF!</definedName>
    <definedName name="_Table2_In1" localSheetId="3" hidden="1">#REF!</definedName>
    <definedName name="_Table2_In1" localSheetId="2" hidden="1">#REF!</definedName>
    <definedName name="_Table2_In1" hidden="1">#REF!</definedName>
    <definedName name="_Table2_In2" localSheetId="3" hidden="1">#REF!</definedName>
    <definedName name="_Table2_In2" localSheetId="2" hidden="1">#REF!</definedName>
    <definedName name="_Table2_In2" hidden="1">#REF!</definedName>
    <definedName name="_Table2_Out" hidden="1">#REF!</definedName>
    <definedName name="ACFinalYear">[2]Dropdowns!$E$9</definedName>
    <definedName name="active_CZ">[2]Dropdowns!$J$3</definedName>
    <definedName name="active_IOU">[2]Dropdowns!$I$5</definedName>
    <definedName name="Active_PriceZone">[2]Dropdowns!$W$14</definedName>
    <definedName name="ACWACC">'[2]Dashboard Viewer'!$G$11</definedName>
    <definedName name="anscount" hidden="1">3</definedName>
    <definedName name="asd" localSheetId="3" hidden="1">[1]Sheet1!#REF!</definedName>
    <definedName name="asd" localSheetId="2" hidden="1">[1]Sheet1!#REF!</definedName>
    <definedName name="asd" hidden="1">[1]Sheet1!#REF!</definedName>
    <definedName name="asdf" localSheetId="3" hidden="1">[1]Sheet1!#REF!</definedName>
    <definedName name="asdf" localSheetId="2" hidden="1">[1]Sheet1!#REF!</definedName>
    <definedName name="asdf" hidden="1">[1]Sheet1!#REF!</definedName>
    <definedName name="BLPB1" hidden="1">'[3]One-Pager'!$A$5</definedName>
    <definedName name="BLPB2" hidden="1">'[3]One-Pager'!$B$5</definedName>
    <definedName name="BLPB3" hidden="1">'[3]One-Pager'!$A$6</definedName>
    <definedName name="BLPB4" hidden="1">'[3]One-Pager'!$A$2</definedName>
    <definedName name="BLPB5" hidden="1">'[3]One-Pager'!$Q$3</definedName>
    <definedName name="BLPB6" hidden="1">'[3]One-Pager'!$I$2</definedName>
    <definedName name="BLPB7" hidden="1">'[3]One-Pager'!$G$2</definedName>
    <definedName name="BLPB8" hidden="1">'[3]One-Pager'!$F$6</definedName>
    <definedName name="BLPH1" localSheetId="3" hidden="1">#REF!</definedName>
    <definedName name="BLPH1" localSheetId="2" hidden="1">#REF!</definedName>
    <definedName name="BLPH1" hidden="1">#REF!</definedName>
    <definedName name="BLPH10" localSheetId="3" hidden="1">#REF!</definedName>
    <definedName name="BLPH10" localSheetId="2" hidden="1">#REF!</definedName>
    <definedName name="BLPH10" hidden="1">#REF!</definedName>
    <definedName name="BLPH11" localSheetId="3" hidden="1">#REF!</definedName>
    <definedName name="BLPH11" localSheetId="2" hidden="1">#REF!</definedName>
    <definedName name="BLPH11" hidden="1">#REF!</definedName>
    <definedName name="BLPH12" hidden="1">#REF!</definedName>
    <definedName name="BLPH13" hidden="1">#REF!</definedName>
    <definedName name="BLPH14"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CZValid">[2]Dropdowns!$P$3</definedName>
    <definedName name="Earnings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6_1aUdv1"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HistoricalYear">[2]Dropdowns!$E$8</definedName>
    <definedName name="HTML_CodePage" hidden="1">1252</definedName>
    <definedName name="HTML_Control" localSheetId="3" hidden="1">{"'Summary'!$A$1:$J$24"}</definedName>
    <definedName name="HTML_Control" localSheetId="2" hidden="1">{"'Summary'!$A$1:$J$24"}</definedName>
    <definedName name="HTML_Control"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IndexCZ">[2]Dropdowns!$K$3</definedName>
    <definedName name="InflationRate">'[2]IRP Inputs'!$C$4</definedName>
    <definedName name="IOUWACC">'[2]IRP Inputs'!$C$8</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FAX" hidden="1">"c2100"</definedName>
    <definedName name="IQ_BOARD_MEMBER_OFFICE" hidden="1">"c2098"</definedName>
    <definedName name="IQ_BOARD_MEMBER_PHONE" hidden="1">"c2099"</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"IQ_REVENUE_EST"</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39146.6970023148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limcount" hidden="1">3</definedName>
    <definedName name="_xlnm.Print_Area" localSheetId="3">'Refrigerant GWPs'!$A$1:$E$159</definedName>
    <definedName name="sencount" hidden="1">1</definedName>
    <definedName name="ShortTon_MetricTonne">[2]Emissions!#REF!</definedName>
    <definedName name="solargraph" localSheetId="3" hidden="1">[1]Sheet1!#REF!</definedName>
    <definedName name="solargraph" localSheetId="2" hidden="1">[1]Sheet1!#REF!</definedName>
    <definedName name="solargraph" hidden="1">[1]Sheet1!#REF!</definedName>
    <definedName name="solver_adj" localSheetId="3" hidden="1">#REF!</definedName>
    <definedName name="solver_adj" localSheetId="2" hidden="1">#REF!</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localSheetId="3" hidden="1">#REF!</definedName>
    <definedName name="solver_opt" localSheetId="2"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rtYear">'[2]Dashboard Viewer'!$G$7</definedName>
    <definedName name="wrn.ALL." localSheetId="3" hidden="1">{#N/A,#N/A,FALSE,"ASSUMPTIONS";#N/A,#N/A,FALSE,"Valuation Summary";"page1",#N/A,FALSE,"PRESENTATION";"page2",#N/A,FALSE,"PRESENTATION";#N/A,#N/A,FALSE,"ORIGINAL_ROLLBACK"}</definedName>
    <definedName name="wrn.ALL." localSheetId="2" hidden="1">{#N/A,#N/A,FALSE,"ASSUMPTIONS";#N/A,#N/A,FALSE,"Valuation Summary";"page1",#N/A,FALSE,"PRESENTATION";"page2",#N/A,FALSE,"PRESENTATION";#N/A,#N/A,FALSE,"ORIGINAL_ROLLBACK"}</definedName>
    <definedName name="wrn.ALL." hidden="1">{#N/A,#N/A,FALSE,"ASSUMPTIONS";#N/A,#N/A,FALSE,"Valuation Summary";"page1",#N/A,FALSE,"PRESENTATION";"page2",#N/A,FALSE,"PRESENTATION";#N/A,#N/A,FALSE,"ORIGINAL_ROLLBACK"}</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ullReport." localSheetId="3"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llReport." localSheetId="2"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Y97SBP." localSheetId="3" hidden="1">{#N/A,#N/A,FALSE,"FY97";#N/A,#N/A,FALSE,"FY98";#N/A,#N/A,FALSE,"FY99";#N/A,#N/A,FALSE,"FY00";#N/A,#N/A,FALSE,"FY01"}</definedName>
    <definedName name="wrn.FY97SBP." localSheetId="2" hidden="1">{#N/A,#N/A,FALSE,"FY97";#N/A,#N/A,FALSE,"FY98";#N/A,#N/A,FALSE,"FY99";#N/A,#N/A,FALSE,"FY00";#N/A,#N/A,FALSE,"FY01"}</definedName>
    <definedName name="wrn.FY97SBP." hidden="1">{#N/A,#N/A,FALSE,"FY97";#N/A,#N/A,FALSE,"FY98";#N/A,#N/A,FALSE,"FY99";#N/A,#N/A,FALSE,"FY00";#N/A,#N/A,FALSE,"FY01"}</definedName>
    <definedName name="wrn.PRES_OUT." localSheetId="3" hidden="1">{"page1",#N/A,FALSE,"PRESENTATION";"page2",#N/A,FALSE,"PRESENTATION";#N/A,#N/A,FALSE,"Valuation Summary"}</definedName>
    <definedName name="wrn.PRES_OUT." localSheetId="2" hidden="1">{"page1",#N/A,FALSE,"PRESENTATION";"page2",#N/A,FALSE,"PRESENTATION";#N/A,#N/A,FALSE,"Valuation Summary"}</definedName>
    <definedName name="wrn.PRES_OUT." hidden="1">{"page1",#N/A,FALSE,"PRESENTATION";"page2",#N/A,FALSE,"PRESENTATION";#N/A,#N/A,FALSE,"Valuation Summary"}</definedName>
    <definedName name="wrn.Presentation._.Version._.but._.No._.WC._.Slide." localSheetId="3"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localSheetId="2"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int._.1_8." localSheetId="3"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localSheetId="2"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3"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localSheetId="2"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CURRENT._.PAGE." localSheetId="3" hidden="1">{"CURRENT",#N/A,FALSE,"REGISTER"}</definedName>
    <definedName name="wrn.PRINT_CURRENT._.PAGE." localSheetId="2" hidden="1">{"CURRENT",#N/A,FALSE,"REGISTER"}</definedName>
    <definedName name="wrn.PRINT_CURRENT._.PAGE." hidden="1">{"CURRENT",#N/A,FALSE,"REGISTER"}</definedName>
    <definedName name="wrn.PRINT_HISTORY." localSheetId="3" hidden="1">{"HISTORY",#N/A,FALSE,"REGISTER"}</definedName>
    <definedName name="wrn.PRINT_HISTORY." localSheetId="2" hidden="1">{"HISTORY",#N/A,FALSE,"REGISTER"}</definedName>
    <definedName name="wrn.PRINT_HISTORY." hidden="1">{"HISTORY",#N/A,FALSE,"REGISTER"}</definedName>
    <definedName name="wrn.printall." localSheetId="3" hidden="1">{"page1",#N/A,FALSE,"DCM";"page2",#N/A,FALSE,"DCM";"page3",#N/A,FALSE,"DCM";"page4",#N/A,FALSE,"DCM";"page5",#N/A,FALSE,"DCM";"page6",#N/A,FALSE,"DCM";"page7",#N/A,FALSE,"DCM";"page8",#N/A,FALSE,"DCM"}</definedName>
    <definedName name="wrn.printall." localSheetId="2" hidden="1">{"page1",#N/A,FALSE,"DCM";"page2",#N/A,FALSE,"DCM";"page3",#N/A,FALSE,"DCM";"page4",#N/A,FALSE,"DCM";"page5",#N/A,FALSE,"DCM";"page6",#N/A,FALSE,"DCM";"page7",#N/A,FALSE,"DCM";"page8",#N/A,FALSE,"DCM"}</definedName>
    <definedName name="wrn.printall." hidden="1">{"page1",#N/A,FALSE,"DCM";"page2",#N/A,FALSE,"DCM";"page3",#N/A,FALSE,"DCM";"page4",#N/A,FALSE,"DCM";"page5",#N/A,FALSE,"DCM";"page6",#N/A,FALSE,"DCM";"page7",#N/A,FALSE,"DCM";"page8",#N/A,FALSE,"DCM"}</definedName>
    <definedName name="wrn.sum1." localSheetId="3" hidden="1">{"Summary","1",FALSE,"Summary"}</definedName>
    <definedName name="wrn.sum1." localSheetId="2" hidden="1">{"Summary","1",FALSE,"Summary"}</definedName>
    <definedName name="wrn.sum1." hidden="1">{"Summary","1",FALSE,"Summary"}</definedName>
    <definedName name="wrn.Summary." localSheetId="3" hidden="1">{"page1",#N/A,FALSE,"DCM";"page3",#N/A,FALSE,"DCM"}</definedName>
    <definedName name="wrn.Summary." localSheetId="2" hidden="1">{"page1",#N/A,FALSE,"DCM";"page3",#N/A,FALSE,"DCM"}</definedName>
    <definedName name="wrn.Summary." hidden="1">{"page1",#N/A,FALSE,"DCM";"page3",#N/A,FALSE,"DCM"}</definedName>
    <definedName name="wrn.Working._.Version." localSheetId="3"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localSheetId="2"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papers." localSheetId="3" hidden="1">{#N/A,#N/A,FALSE,"Inputs And Assumptions";#N/A,#N/A,FALSE,"Revenue Allocation";#N/A,#N/A,FALSE,"RSP Surch Allocations";#N/A,#N/A,FALSE,"Generation Calculations";#N/A,#N/A,FALSE,"Test Year 2001 Sales and Revs."}</definedName>
    <definedName name="wrn.workpapers." localSheetId="2"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n1.fullreport" localSheetId="3"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fullreport" localSheetId="2"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localSheetId="3" hidden="1">{"page1",#N/A,FALSE,"DCM";"page2",#N/A,FALSE,"DCM";"page3",#N/A,FALSE,"DCM";"page4",#N/A,FALSE,"DCM";"page5",#N/A,FALSE,"DCM";"page6",#N/A,FALSE,"DCM";"page7",#N/A,FALSE,"DCM";"page8",#N/A,FALSE,"DCM"}</definedName>
    <definedName name="wrn1.printall" localSheetId="2" hidden="1">{"page1",#N/A,FALSE,"DCM";"page2",#N/A,FALSE,"DCM";"page3",#N/A,FALSE,"DCM";"page4",#N/A,FALSE,"DCM";"page5",#N/A,FALSE,"DCM";"page6",#N/A,FALSE,"DCM";"page7",#N/A,FALSE,"DCM";"page8",#N/A,FALSE,"DCM"}</definedName>
    <definedName name="wrn1.printall" hidden="1">{"page1",#N/A,FALSE,"DCM";"page2",#N/A,FALSE,"DCM";"page3",#N/A,FALSE,"DCM";"page4",#N/A,FALSE,"DCM";"page5",#N/A,FALSE,"DCM";"page6",#N/A,FALSE,"DCM";"page7",#N/A,FALSE,"DCM";"page8",#N/A,FALSE,"DCM"}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3" i="12" l="1"/>
  <c r="E126" i="12"/>
  <c r="E125" i="12"/>
  <c r="E124" i="12"/>
  <c r="E127" i="12" s="1"/>
  <c r="F126" i="12"/>
  <c r="F125" i="12"/>
  <c r="F124" i="12"/>
  <c r="E123" i="12"/>
  <c r="E131" i="12" l="1"/>
  <c r="C127" i="12"/>
  <c r="C126" i="12"/>
  <c r="C125" i="12"/>
  <c r="C124" i="12"/>
  <c r="C123" i="12"/>
  <c r="J25" i="12" l="1"/>
  <c r="G3" i="11" l="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D74" i="12" s="1"/>
  <c r="G153" i="11"/>
  <c r="G154" i="11"/>
  <c r="G2" i="11"/>
  <c r="E90" i="12"/>
  <c r="F90" i="12"/>
  <c r="E108" i="12"/>
  <c r="F108" i="12"/>
  <c r="H50" i="12" l="1"/>
  <c r="E39" i="12" l="1"/>
  <c r="H31" i="12" l="1"/>
  <c r="H75" i="12" s="1"/>
  <c r="H49" i="12"/>
  <c r="H46" i="12"/>
  <c r="H45" i="12"/>
  <c r="H41" i="12"/>
  <c r="H38" i="12"/>
  <c r="H37" i="12"/>
  <c r="H39" i="12" l="1"/>
  <c r="G108" i="12"/>
  <c r="H108" i="12"/>
  <c r="I108" i="12"/>
  <c r="J108" i="12"/>
  <c r="K108" i="12"/>
  <c r="L108" i="12"/>
  <c r="M108" i="12"/>
  <c r="N108" i="12"/>
  <c r="O108" i="12"/>
  <c r="P108" i="12"/>
  <c r="Q108" i="12"/>
  <c r="R108" i="12"/>
  <c r="S108" i="12"/>
  <c r="T108" i="12"/>
  <c r="U108" i="12"/>
  <c r="V108" i="12"/>
  <c r="W108" i="12"/>
  <c r="X108" i="12"/>
  <c r="Y108" i="12"/>
  <c r="Z108" i="12"/>
  <c r="AA108" i="12"/>
  <c r="AB108" i="12"/>
  <c r="AC108" i="12"/>
  <c r="AD108" i="12"/>
  <c r="AE108" i="12"/>
  <c r="AF108" i="12"/>
  <c r="AG108" i="12"/>
  <c r="AH108" i="12"/>
  <c r="AI108" i="12"/>
  <c r="G90" i="12"/>
  <c r="H90" i="12"/>
  <c r="I90" i="12"/>
  <c r="J90" i="12"/>
  <c r="K90" i="12"/>
  <c r="L90" i="12"/>
  <c r="M90" i="12"/>
  <c r="N90" i="12"/>
  <c r="O90" i="12"/>
  <c r="P90" i="12"/>
  <c r="Q90" i="12"/>
  <c r="R90" i="12"/>
  <c r="S90" i="12"/>
  <c r="T90" i="12"/>
  <c r="U90" i="12"/>
  <c r="V90" i="12"/>
  <c r="W90" i="12"/>
  <c r="X90" i="12"/>
  <c r="Y90" i="12"/>
  <c r="Z90" i="12"/>
  <c r="AA90" i="12"/>
  <c r="AB90" i="12"/>
  <c r="AC90" i="12"/>
  <c r="AD90" i="12"/>
  <c r="AE90" i="12"/>
  <c r="AF90" i="12"/>
  <c r="AG90" i="12"/>
  <c r="AH90" i="12"/>
  <c r="AI90" i="12"/>
  <c r="H77" i="12"/>
  <c r="G77" i="12"/>
  <c r="E77" i="12"/>
  <c r="D77" i="12"/>
  <c r="H76" i="12"/>
  <c r="G76" i="12"/>
  <c r="E76" i="12"/>
  <c r="D76" i="12"/>
  <c r="D75" i="12"/>
  <c r="E75" i="12"/>
  <c r="D39" i="12"/>
  <c r="E42" i="12"/>
  <c r="E43" i="12" s="1"/>
  <c r="G39" i="12"/>
  <c r="D47" i="12"/>
  <c r="E47" i="12"/>
  <c r="G47" i="12"/>
  <c r="D53" i="12"/>
  <c r="D58" i="12"/>
  <c r="G75" i="12"/>
  <c r="H69" i="12"/>
  <c r="H41" i="10"/>
  <c r="I41" i="10" s="1"/>
  <c r="H47" i="12" l="1"/>
  <c r="D42" i="12"/>
  <c r="E69" i="12"/>
  <c r="D69" i="12"/>
  <c r="H42" i="12" l="1"/>
  <c r="D43" i="12"/>
  <c r="D73" i="12" s="1"/>
  <c r="D54" i="12"/>
  <c r="D70" i="12"/>
  <c r="E70" i="12"/>
  <c r="E73" i="12"/>
  <c r="E85" i="12" l="1"/>
  <c r="E91" i="12" s="1"/>
  <c r="E96" i="12" s="1"/>
  <c r="F85" i="12"/>
  <c r="F91" i="12" s="1"/>
  <c r="F96" i="12" s="1"/>
  <c r="F86" i="12"/>
  <c r="F92" i="12" s="1"/>
  <c r="F97" i="12" s="1"/>
  <c r="E86" i="12"/>
  <c r="E92" i="12" s="1"/>
  <c r="E97" i="12" s="1"/>
  <c r="E88" i="12"/>
  <c r="E94" i="12" s="1"/>
  <c r="E99" i="12" s="1"/>
  <c r="E87" i="12"/>
  <c r="E93" i="12" s="1"/>
  <c r="E98" i="12" s="1"/>
  <c r="F87" i="12"/>
  <c r="F93" i="12" s="1"/>
  <c r="F98" i="12" s="1"/>
  <c r="D71" i="12"/>
  <c r="D72" i="12" s="1"/>
  <c r="AB87" i="12"/>
  <c r="AB93" i="12" s="1"/>
  <c r="AB98" i="12" s="1"/>
  <c r="H43" i="12"/>
  <c r="H73" i="12" s="1"/>
  <c r="G41" i="12"/>
  <c r="H70" i="12"/>
  <c r="F104" i="12" s="1"/>
  <c r="F110" i="12" s="1"/>
  <c r="F115" i="12" s="1"/>
  <c r="H71" i="12"/>
  <c r="H72" i="12" s="1"/>
  <c r="E71" i="12"/>
  <c r="E72" i="12" s="1"/>
  <c r="AA87" i="12"/>
  <c r="AA93" i="12" s="1"/>
  <c r="AA98" i="12" s="1"/>
  <c r="G85" i="12"/>
  <c r="G91" i="12" s="1"/>
  <c r="G96" i="12" s="1"/>
  <c r="G87" i="12"/>
  <c r="G93" i="12" s="1"/>
  <c r="G98" i="12" s="1"/>
  <c r="T87" i="12"/>
  <c r="T93" i="12" s="1"/>
  <c r="T98" i="12" s="1"/>
  <c r="AH85" i="12"/>
  <c r="AH91" i="12" s="1"/>
  <c r="AH96" i="12" s="1"/>
  <c r="AH87" i="12"/>
  <c r="AH93" i="12" s="1"/>
  <c r="AH98" i="12" s="1"/>
  <c r="AF87" i="12"/>
  <c r="AF93" i="12" s="1"/>
  <c r="AF98" i="12" s="1"/>
  <c r="L87" i="12"/>
  <c r="L93" i="12" s="1"/>
  <c r="L98" i="12" s="1"/>
  <c r="AE85" i="12"/>
  <c r="AE91" i="12" s="1"/>
  <c r="AE96" i="12" s="1"/>
  <c r="AE87" i="12"/>
  <c r="AE93" i="12" s="1"/>
  <c r="AE98" i="12" s="1"/>
  <c r="Q87" i="12"/>
  <c r="Q93" i="12" s="1"/>
  <c r="Q98" i="12" s="1"/>
  <c r="W87" i="12"/>
  <c r="W93" i="12" s="1"/>
  <c r="W98" i="12" s="1"/>
  <c r="AD85" i="12"/>
  <c r="AD91" i="12" s="1"/>
  <c r="AD96" i="12" s="1"/>
  <c r="R87" i="12"/>
  <c r="R93" i="12" s="1"/>
  <c r="R98" i="12" s="1"/>
  <c r="AI87" i="12"/>
  <c r="AI93" i="12" s="1"/>
  <c r="AI98" i="12" s="1"/>
  <c r="J87" i="12"/>
  <c r="J93" i="12" s="1"/>
  <c r="J98" i="12" s="1"/>
  <c r="AD87" i="12"/>
  <c r="AD93" i="12" s="1"/>
  <c r="AD98" i="12" s="1"/>
  <c r="S87" i="12"/>
  <c r="S93" i="12" s="1"/>
  <c r="S98" i="12" s="1"/>
  <c r="P87" i="12"/>
  <c r="P93" i="12" s="1"/>
  <c r="P98" i="12" s="1"/>
  <c r="AG87" i="12"/>
  <c r="AG93" i="12" s="1"/>
  <c r="AG98" i="12" s="1"/>
  <c r="H87" i="12"/>
  <c r="H93" i="12" s="1"/>
  <c r="H98" i="12" s="1"/>
  <c r="AG85" i="12"/>
  <c r="AG91" i="12" s="1"/>
  <c r="AG96" i="12" s="1"/>
  <c r="Y87" i="12"/>
  <c r="Y93" i="12" s="1"/>
  <c r="Y98" i="12" s="1"/>
  <c r="M87" i="12"/>
  <c r="M93" i="12" s="1"/>
  <c r="M98" i="12" s="1"/>
  <c r="AI85" i="12"/>
  <c r="AI91" i="12" s="1"/>
  <c r="AI96" i="12" s="1"/>
  <c r="AF85" i="12"/>
  <c r="AF91" i="12" s="1"/>
  <c r="AF96" i="12" s="1"/>
  <c r="I87" i="12"/>
  <c r="I93" i="12" s="1"/>
  <c r="I98" i="12" s="1"/>
  <c r="O87" i="12"/>
  <c r="O93" i="12" s="1"/>
  <c r="O98" i="12" s="1"/>
  <c r="U87" i="12"/>
  <c r="U93" i="12" s="1"/>
  <c r="U98" i="12" s="1"/>
  <c r="H86" i="12"/>
  <c r="H92" i="12" s="1"/>
  <c r="H97" i="12" s="1"/>
  <c r="P86" i="12"/>
  <c r="P92" i="12" s="1"/>
  <c r="P97" i="12" s="1"/>
  <c r="X86" i="12"/>
  <c r="X92" i="12" s="1"/>
  <c r="X97" i="12" s="1"/>
  <c r="AF86" i="12"/>
  <c r="AF92" i="12" s="1"/>
  <c r="AF97" i="12" s="1"/>
  <c r="Y86" i="12"/>
  <c r="Y92" i="12" s="1"/>
  <c r="Y97" i="12" s="1"/>
  <c r="Q86" i="12"/>
  <c r="Q92" i="12" s="1"/>
  <c r="Q97" i="12" s="1"/>
  <c r="AG86" i="12"/>
  <c r="AG92" i="12" s="1"/>
  <c r="AG97" i="12" s="1"/>
  <c r="R86" i="12"/>
  <c r="R92" i="12" s="1"/>
  <c r="R97" i="12" s="1"/>
  <c r="Z86" i="12"/>
  <c r="Z92" i="12" s="1"/>
  <c r="Z97" i="12" s="1"/>
  <c r="S86" i="12"/>
  <c r="S92" i="12" s="1"/>
  <c r="S97" i="12" s="1"/>
  <c r="AA86" i="12"/>
  <c r="AA92" i="12" s="1"/>
  <c r="AA97" i="12" s="1"/>
  <c r="AI86" i="12"/>
  <c r="AI92" i="12" s="1"/>
  <c r="AI97" i="12" s="1"/>
  <c r="T86" i="12"/>
  <c r="T92" i="12" s="1"/>
  <c r="T97" i="12" s="1"/>
  <c r="AB86" i="12"/>
  <c r="AB92" i="12" s="1"/>
  <c r="AB97" i="12" s="1"/>
  <c r="W86" i="12"/>
  <c r="W92" i="12" s="1"/>
  <c r="W97" i="12" s="1"/>
  <c r="U86" i="12"/>
  <c r="U92" i="12" s="1"/>
  <c r="U97" i="12" s="1"/>
  <c r="AC86" i="12"/>
  <c r="AC92" i="12" s="1"/>
  <c r="AC97" i="12" s="1"/>
  <c r="O86" i="12"/>
  <c r="O92" i="12" s="1"/>
  <c r="O97" i="12" s="1"/>
  <c r="AH86" i="12"/>
  <c r="AH92" i="12" s="1"/>
  <c r="AH97" i="12" s="1"/>
  <c r="V86" i="12"/>
  <c r="V92" i="12" s="1"/>
  <c r="V97" i="12" s="1"/>
  <c r="AD86" i="12"/>
  <c r="AD92" i="12" s="1"/>
  <c r="AD97" i="12" s="1"/>
  <c r="G86" i="12"/>
  <c r="G92" i="12" s="1"/>
  <c r="G97" i="12" s="1"/>
  <c r="AE86" i="12"/>
  <c r="AE92" i="12" s="1"/>
  <c r="AE97" i="12" s="1"/>
  <c r="N87" i="12"/>
  <c r="N93" i="12" s="1"/>
  <c r="N98" i="12" s="1"/>
  <c r="Z87" i="12"/>
  <c r="Z93" i="12" s="1"/>
  <c r="Z98" i="12" s="1"/>
  <c r="J88" i="12"/>
  <c r="J94" i="12" s="1"/>
  <c r="J99" i="12" s="1"/>
  <c r="R88" i="12"/>
  <c r="R94" i="12" s="1"/>
  <c r="R99" i="12" s="1"/>
  <c r="Z88" i="12"/>
  <c r="Z94" i="12" s="1"/>
  <c r="Z99" i="12" s="1"/>
  <c r="AH88" i="12"/>
  <c r="AH94" i="12" s="1"/>
  <c r="AH99" i="12" s="1"/>
  <c r="K88" i="12"/>
  <c r="K94" i="12" s="1"/>
  <c r="K99" i="12" s="1"/>
  <c r="S88" i="12"/>
  <c r="S94" i="12" s="1"/>
  <c r="S99" i="12" s="1"/>
  <c r="AA88" i="12"/>
  <c r="AA94" i="12" s="1"/>
  <c r="AA99" i="12" s="1"/>
  <c r="AI88" i="12"/>
  <c r="AI94" i="12" s="1"/>
  <c r="AI99" i="12" s="1"/>
  <c r="AG88" i="12"/>
  <c r="AG94" i="12" s="1"/>
  <c r="AG99" i="12" s="1"/>
  <c r="L88" i="12"/>
  <c r="L94" i="12" s="1"/>
  <c r="L99" i="12" s="1"/>
  <c r="T88" i="12"/>
  <c r="T94" i="12" s="1"/>
  <c r="T99" i="12" s="1"/>
  <c r="AB88" i="12"/>
  <c r="AB94" i="12" s="1"/>
  <c r="AB99" i="12" s="1"/>
  <c r="M88" i="12"/>
  <c r="M94" i="12" s="1"/>
  <c r="M99" i="12" s="1"/>
  <c r="U88" i="12"/>
  <c r="U94" i="12" s="1"/>
  <c r="U99" i="12" s="1"/>
  <c r="AC88" i="12"/>
  <c r="AC94" i="12" s="1"/>
  <c r="AC99" i="12" s="1"/>
  <c r="Q88" i="12"/>
  <c r="Q94" i="12" s="1"/>
  <c r="Q99" i="12" s="1"/>
  <c r="V88" i="12"/>
  <c r="V94" i="12" s="1"/>
  <c r="V99" i="12" s="1"/>
  <c r="AD88" i="12"/>
  <c r="AD94" i="12" s="1"/>
  <c r="AD99" i="12" s="1"/>
  <c r="Y88" i="12"/>
  <c r="Y94" i="12" s="1"/>
  <c r="Y99" i="12" s="1"/>
  <c r="G88" i="12"/>
  <c r="G94" i="12" s="1"/>
  <c r="G99" i="12" s="1"/>
  <c r="O88" i="12"/>
  <c r="O94" i="12" s="1"/>
  <c r="O99" i="12" s="1"/>
  <c r="W88" i="12"/>
  <c r="W94" i="12" s="1"/>
  <c r="W99" i="12" s="1"/>
  <c r="AE88" i="12"/>
  <c r="AE94" i="12" s="1"/>
  <c r="AE99" i="12" s="1"/>
  <c r="P88" i="12"/>
  <c r="P94" i="12" s="1"/>
  <c r="P99" i="12" s="1"/>
  <c r="X88" i="12"/>
  <c r="X94" i="12" s="1"/>
  <c r="X99" i="12" s="1"/>
  <c r="AF88" i="12"/>
  <c r="AF94" i="12" s="1"/>
  <c r="AF99" i="12" s="1"/>
  <c r="E104" i="12" l="1"/>
  <c r="E110" i="12" s="1"/>
  <c r="E115" i="12" s="1"/>
  <c r="E106" i="12"/>
  <c r="E112" i="12" s="1"/>
  <c r="E117" i="12" s="1"/>
  <c r="W104" i="12"/>
  <c r="W110" i="12" s="1"/>
  <c r="W115" i="12" s="1"/>
  <c r="AB106" i="12"/>
  <c r="AB112" i="12" s="1"/>
  <c r="AB117" i="12" s="1"/>
  <c r="Z104" i="12"/>
  <c r="Z110" i="12" s="1"/>
  <c r="Z115" i="12" s="1"/>
  <c r="Y104" i="12"/>
  <c r="Y110" i="12" s="1"/>
  <c r="Y115" i="12" s="1"/>
  <c r="AI106" i="12"/>
  <c r="AI112" i="12" s="1"/>
  <c r="AI117" i="12" s="1"/>
  <c r="AG106" i="12"/>
  <c r="AG112" i="12" s="1"/>
  <c r="AG117" i="12" s="1"/>
  <c r="V106" i="12"/>
  <c r="V112" i="12" s="1"/>
  <c r="V117" i="12" s="1"/>
  <c r="AH104" i="12"/>
  <c r="AH110" i="12" s="1"/>
  <c r="AH115" i="12" s="1"/>
  <c r="Q106" i="12"/>
  <c r="Q112" i="12" s="1"/>
  <c r="Q117" i="12" s="1"/>
  <c r="R106" i="12"/>
  <c r="R112" i="12" s="1"/>
  <c r="R117" i="12" s="1"/>
  <c r="AD106" i="12"/>
  <c r="AD112" i="12" s="1"/>
  <c r="AD117" i="12" s="1"/>
  <c r="H106" i="12"/>
  <c r="H112" i="12" s="1"/>
  <c r="H117" i="12" s="1"/>
  <c r="X106" i="12"/>
  <c r="X112" i="12" s="1"/>
  <c r="X117" i="12" s="1"/>
  <c r="I106" i="12"/>
  <c r="I112" i="12" s="1"/>
  <c r="I117" i="12" s="1"/>
  <c r="L106" i="12"/>
  <c r="L112" i="12" s="1"/>
  <c r="L117" i="12" s="1"/>
  <c r="AB104" i="12"/>
  <c r="AB110" i="12" s="1"/>
  <c r="AB115" i="12" s="1"/>
  <c r="K106" i="12"/>
  <c r="K112" i="12" s="1"/>
  <c r="K117" i="12" s="1"/>
  <c r="AA106" i="12"/>
  <c r="AA112" i="12" s="1"/>
  <c r="AA117" i="12" s="1"/>
  <c r="AC106" i="12"/>
  <c r="AC112" i="12" s="1"/>
  <c r="AC117" i="12" s="1"/>
  <c r="Y106" i="12"/>
  <c r="Y112" i="12" s="1"/>
  <c r="Y117" i="12" s="1"/>
  <c r="AE104" i="12"/>
  <c r="AE110" i="12" s="1"/>
  <c r="AE115" i="12" s="1"/>
  <c r="Z106" i="12"/>
  <c r="Z112" i="12" s="1"/>
  <c r="Z117" i="12" s="1"/>
  <c r="T106" i="12"/>
  <c r="T112" i="12" s="1"/>
  <c r="T117" i="12" s="1"/>
  <c r="AC104" i="12"/>
  <c r="AC110" i="12" s="1"/>
  <c r="AC115" i="12" s="1"/>
  <c r="G104" i="12"/>
  <c r="G110" i="12" s="1"/>
  <c r="G115" i="12" s="1"/>
  <c r="AG104" i="12"/>
  <c r="AG110" i="12" s="1"/>
  <c r="AG115" i="12" s="1"/>
  <c r="AI104" i="12"/>
  <c r="AI110" i="12" s="1"/>
  <c r="AI115" i="12" s="1"/>
  <c r="U106" i="12"/>
  <c r="U112" i="12" s="1"/>
  <c r="U117" i="12" s="1"/>
  <c r="AD104" i="12"/>
  <c r="AD110" i="12" s="1"/>
  <c r="AD115" i="12" s="1"/>
  <c r="AE106" i="12"/>
  <c r="AE112" i="12" s="1"/>
  <c r="AE117" i="12" s="1"/>
  <c r="AH106" i="12"/>
  <c r="AH112" i="12" s="1"/>
  <c r="AH117" i="12" s="1"/>
  <c r="H104" i="12"/>
  <c r="H110" i="12" s="1"/>
  <c r="H115" i="12" s="1"/>
  <c r="AA104" i="12"/>
  <c r="AA110" i="12" s="1"/>
  <c r="AA115" i="12" s="1"/>
  <c r="U104" i="12"/>
  <c r="U110" i="12" s="1"/>
  <c r="U115" i="12" s="1"/>
  <c r="G106" i="12"/>
  <c r="G112" i="12" s="1"/>
  <c r="G117" i="12" s="1"/>
  <c r="T104" i="12"/>
  <c r="T110" i="12" s="1"/>
  <c r="T115" i="12" s="1"/>
  <c r="W106" i="12"/>
  <c r="W112" i="12" s="1"/>
  <c r="W117" i="12" s="1"/>
  <c r="O106" i="12"/>
  <c r="O112" i="12" s="1"/>
  <c r="O117" i="12" s="1"/>
  <c r="AF104" i="12"/>
  <c r="AF110" i="12" s="1"/>
  <c r="AF115" i="12" s="1"/>
  <c r="X104" i="12"/>
  <c r="X110" i="12" s="1"/>
  <c r="X115" i="12" s="1"/>
  <c r="M106" i="12"/>
  <c r="M112" i="12" s="1"/>
  <c r="M117" i="12" s="1"/>
  <c r="AF106" i="12"/>
  <c r="AF112" i="12" s="1"/>
  <c r="AF117" i="12" s="1"/>
  <c r="V104" i="12"/>
  <c r="V110" i="12" s="1"/>
  <c r="V115" i="12" s="1"/>
  <c r="J106" i="12"/>
  <c r="J112" i="12" s="1"/>
  <c r="J117" i="12" s="1"/>
  <c r="G69" i="12"/>
  <c r="G42" i="12"/>
  <c r="G43" i="12" l="1"/>
  <c r="G73" i="12" s="1"/>
  <c r="G70" i="12"/>
  <c r="F103" i="12" s="1"/>
  <c r="F109" i="12" s="1"/>
  <c r="F114" i="12" s="1"/>
  <c r="G71" i="12"/>
  <c r="G72" i="12" s="1"/>
  <c r="E103" i="12" l="1"/>
  <c r="E109" i="12" s="1"/>
  <c r="E114" i="12" s="1"/>
  <c r="E105" i="12"/>
  <c r="E111" i="12" s="1"/>
  <c r="E116" i="12" s="1"/>
  <c r="F105" i="12"/>
  <c r="F111" i="12" s="1"/>
  <c r="F116" i="12" s="1"/>
  <c r="AI103" i="12"/>
  <c r="AI109" i="12" s="1"/>
  <c r="AI114" i="12" s="1"/>
  <c r="AG103" i="12"/>
  <c r="AG109" i="12" s="1"/>
  <c r="AG114" i="12" s="1"/>
  <c r="G103" i="12"/>
  <c r="G109" i="12" s="1"/>
  <c r="G114" i="12" s="1"/>
  <c r="AD103" i="12"/>
  <c r="AD109" i="12" s="1"/>
  <c r="AD114" i="12" s="1"/>
  <c r="Q105" i="12"/>
  <c r="Q111" i="12" s="1"/>
  <c r="Q116" i="12" s="1"/>
  <c r="U105" i="12"/>
  <c r="U111" i="12" s="1"/>
  <c r="U116" i="12" s="1"/>
  <c r="AE105" i="12"/>
  <c r="AE111" i="12" s="1"/>
  <c r="AE116" i="12" s="1"/>
  <c r="M105" i="12"/>
  <c r="M111" i="12" s="1"/>
  <c r="M116" i="12" s="1"/>
  <c r="Y105" i="12"/>
  <c r="Y111" i="12" s="1"/>
  <c r="Y116" i="12" s="1"/>
  <c r="J105" i="12"/>
  <c r="J111" i="12" s="1"/>
  <c r="J116" i="12" s="1"/>
  <c r="AG105" i="12"/>
  <c r="AG111" i="12" s="1"/>
  <c r="AG116" i="12" s="1"/>
  <c r="W105" i="12"/>
  <c r="W111" i="12" s="1"/>
  <c r="W116" i="12" s="1"/>
  <c r="AD105" i="12"/>
  <c r="AD111" i="12" s="1"/>
  <c r="AD116" i="12" s="1"/>
  <c r="O105" i="12"/>
  <c r="O111" i="12" s="1"/>
  <c r="O116" i="12" s="1"/>
  <c r="G105" i="12"/>
  <c r="G111" i="12" s="1"/>
  <c r="G116" i="12" s="1"/>
  <c r="AI105" i="12"/>
  <c r="AI111" i="12" s="1"/>
  <c r="AI116" i="12" s="1"/>
  <c r="AF105" i="12"/>
  <c r="AF111" i="12" s="1"/>
  <c r="AF116" i="12" s="1"/>
  <c r="L105" i="12"/>
  <c r="L111" i="12" s="1"/>
  <c r="L116" i="12" s="1"/>
  <c r="AH103" i="12"/>
  <c r="AH109" i="12" s="1"/>
  <c r="AH114" i="12" s="1"/>
  <c r="AE103" i="12"/>
  <c r="AE109" i="12" s="1"/>
  <c r="AE114" i="12" s="1"/>
  <c r="AF103" i="12"/>
  <c r="AF109" i="12" s="1"/>
  <c r="AF114" i="12" s="1"/>
  <c r="G74" i="12"/>
  <c r="C139" i="11"/>
  <c r="H40" i="10"/>
  <c r="I40" i="10" s="1"/>
  <c r="H39" i="10"/>
  <c r="I39" i="10" s="1"/>
  <c r="I38" i="10"/>
  <c r="H38" i="10"/>
  <c r="H37" i="10"/>
  <c r="I37" i="10" s="1"/>
  <c r="H36" i="10"/>
  <c r="I36" i="10" s="1"/>
  <c r="H35" i="10"/>
  <c r="I35" i="10" s="1"/>
  <c r="I34" i="10"/>
  <c r="H34" i="10"/>
  <c r="H33" i="10"/>
  <c r="I33" i="10" s="1"/>
  <c r="H32" i="10"/>
  <c r="I32" i="10" s="1"/>
  <c r="H31" i="10"/>
  <c r="I31" i="10" s="1"/>
  <c r="I30" i="10"/>
  <c r="H30" i="10"/>
  <c r="H29" i="10"/>
  <c r="I29" i="10" s="1"/>
  <c r="H28" i="10"/>
  <c r="I28" i="10" s="1"/>
  <c r="H27" i="10"/>
  <c r="I27" i="10" s="1"/>
  <c r="H26" i="10"/>
  <c r="I26" i="10" s="1"/>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H7" i="10"/>
  <c r="I7" i="10" s="1"/>
  <c r="H6" i="10"/>
  <c r="I6" i="10" s="1"/>
  <c r="H5" i="10"/>
  <c r="I5" i="10" s="1"/>
  <c r="H4" i="10"/>
  <c r="I4" i="10" s="1"/>
  <c r="H3" i="10"/>
  <c r="I3" i="10" s="1"/>
  <c r="H2" i="10"/>
  <c r="I2" i="10" s="1"/>
  <c r="E74" i="12" l="1"/>
  <c r="H74" i="12"/>
  <c r="D78" i="12"/>
  <c r="D79" i="12"/>
  <c r="AC87" i="12" l="1"/>
  <c r="AC93" i="12" s="1"/>
  <c r="AC98" i="12" s="1"/>
  <c r="V87" i="12"/>
  <c r="V93" i="12" s="1"/>
  <c r="V98" i="12" s="1"/>
  <c r="I85" i="12"/>
  <c r="I91" i="12" s="1"/>
  <c r="I96" i="12" s="1"/>
  <c r="H85" i="12"/>
  <c r="H91" i="12" s="1"/>
  <c r="H96" i="12" s="1"/>
  <c r="Z85" i="12"/>
  <c r="Z91" i="12" s="1"/>
  <c r="Z96" i="12" s="1"/>
  <c r="AB85" i="12"/>
  <c r="AB91" i="12" s="1"/>
  <c r="AB96" i="12" s="1"/>
  <c r="AC85" i="12"/>
  <c r="AC91" i="12" s="1"/>
  <c r="AC96" i="12" s="1"/>
  <c r="AA85" i="12"/>
  <c r="AA91" i="12" s="1"/>
  <c r="AA96" i="12" s="1"/>
  <c r="Y85" i="12"/>
  <c r="Y91" i="12" s="1"/>
  <c r="Y96" i="12" s="1"/>
  <c r="X87" i="12"/>
  <c r="X93" i="12" s="1"/>
  <c r="X98" i="12" s="1"/>
  <c r="K87" i="12"/>
  <c r="K93" i="12" s="1"/>
  <c r="K98" i="12" s="1"/>
  <c r="E79" i="12"/>
  <c r="E78" i="12"/>
  <c r="H79" i="12"/>
  <c r="H78" i="12"/>
  <c r="V85" i="12"/>
  <c r="V91" i="12" s="1"/>
  <c r="V96" i="12" s="1"/>
  <c r="L85" i="12"/>
  <c r="L91" i="12" s="1"/>
  <c r="L96" i="12" s="1"/>
  <c r="X85" i="12"/>
  <c r="X91" i="12" s="1"/>
  <c r="X96" i="12" s="1"/>
  <c r="J85" i="12"/>
  <c r="J91" i="12" s="1"/>
  <c r="J96" i="12" s="1"/>
  <c r="R85" i="12"/>
  <c r="R91" i="12" s="1"/>
  <c r="R96" i="12" s="1"/>
  <c r="T85" i="12"/>
  <c r="T91" i="12" s="1"/>
  <c r="T96" i="12" s="1"/>
  <c r="P85" i="12"/>
  <c r="P91" i="12" s="1"/>
  <c r="P96" i="12" s="1"/>
  <c r="Q85" i="12"/>
  <c r="Q91" i="12" s="1"/>
  <c r="Q96" i="12" s="1"/>
  <c r="U85" i="12"/>
  <c r="U91" i="12" s="1"/>
  <c r="U96" i="12" s="1"/>
  <c r="M85" i="12"/>
  <c r="M91" i="12" s="1"/>
  <c r="M96" i="12" s="1"/>
  <c r="W85" i="12"/>
  <c r="W91" i="12" s="1"/>
  <c r="W96" i="12" s="1"/>
  <c r="N85" i="12"/>
  <c r="N91" i="12" s="1"/>
  <c r="N96" i="12" s="1"/>
  <c r="O85" i="12"/>
  <c r="O91" i="12" s="1"/>
  <c r="O96" i="12" s="1"/>
  <c r="S85" i="12"/>
  <c r="S91" i="12" s="1"/>
  <c r="S96" i="12" s="1"/>
  <c r="K85" i="12"/>
  <c r="K91" i="12" s="1"/>
  <c r="K96" i="12" s="1"/>
  <c r="G78" i="12"/>
  <c r="H103" i="12" s="1"/>
  <c r="H109" i="12" s="1"/>
  <c r="H114" i="12" s="1"/>
  <c r="G79" i="12"/>
  <c r="V105" i="12" s="1"/>
  <c r="V111" i="12" s="1"/>
  <c r="V116" i="12" s="1"/>
  <c r="I88" i="12" l="1"/>
  <c r="I94" i="12" s="1"/>
  <c r="I99" i="12" s="1"/>
  <c r="F88" i="12"/>
  <c r="F94" i="12" s="1"/>
  <c r="F99" i="12" s="1"/>
  <c r="S106" i="12"/>
  <c r="S112" i="12" s="1"/>
  <c r="S117" i="12" s="1"/>
  <c r="F106" i="12"/>
  <c r="F112" i="12" s="1"/>
  <c r="F117" i="12" s="1"/>
  <c r="Q104" i="12"/>
  <c r="Q110" i="12" s="1"/>
  <c r="Q115" i="12" s="1"/>
  <c r="R104" i="12"/>
  <c r="R110" i="12" s="1"/>
  <c r="R115" i="12" s="1"/>
  <c r="S104" i="12"/>
  <c r="S110" i="12" s="1"/>
  <c r="S115" i="12" s="1"/>
  <c r="K105" i="12"/>
  <c r="K111" i="12" s="1"/>
  <c r="K116" i="12" s="1"/>
  <c r="AH105" i="12"/>
  <c r="AH111" i="12" s="1"/>
  <c r="AH116" i="12" s="1"/>
  <c r="N105" i="12"/>
  <c r="N111" i="12" s="1"/>
  <c r="N116" i="12" s="1"/>
  <c r="I105" i="12"/>
  <c r="I111" i="12" s="1"/>
  <c r="I116" i="12" s="1"/>
  <c r="AA105" i="12"/>
  <c r="AA111" i="12" s="1"/>
  <c r="AA116" i="12" s="1"/>
  <c r="X105" i="12"/>
  <c r="X111" i="12" s="1"/>
  <c r="X116" i="12" s="1"/>
  <c r="Z105" i="12"/>
  <c r="Z111" i="12" s="1"/>
  <c r="Z116" i="12" s="1"/>
  <c r="AC105" i="12"/>
  <c r="AC111" i="12" s="1"/>
  <c r="AC116" i="12" s="1"/>
  <c r="W103" i="12"/>
  <c r="W109" i="12" s="1"/>
  <c r="W114" i="12" s="1"/>
  <c r="V103" i="12"/>
  <c r="V109" i="12" s="1"/>
  <c r="V114" i="12" s="1"/>
  <c r="U103" i="12"/>
  <c r="U109" i="12" s="1"/>
  <c r="U114" i="12" s="1"/>
  <c r="Y103" i="12"/>
  <c r="Y109" i="12" s="1"/>
  <c r="Y114" i="12" s="1"/>
  <c r="AB103" i="12"/>
  <c r="AB109" i="12" s="1"/>
  <c r="AB114" i="12" s="1"/>
  <c r="AA103" i="12"/>
  <c r="AA109" i="12" s="1"/>
  <c r="AA114" i="12" s="1"/>
  <c r="X103" i="12"/>
  <c r="X109" i="12" s="1"/>
  <c r="X114" i="12" s="1"/>
  <c r="Z103" i="12"/>
  <c r="Z109" i="12" s="1"/>
  <c r="Z114" i="12" s="1"/>
  <c r="AC103" i="12"/>
  <c r="AC109" i="12" s="1"/>
  <c r="AC114" i="12" s="1"/>
  <c r="R105" i="12"/>
  <c r="R111" i="12" s="1"/>
  <c r="R116" i="12" s="1"/>
  <c r="S105" i="12"/>
  <c r="S111" i="12" s="1"/>
  <c r="S116" i="12" s="1"/>
  <c r="H105" i="12"/>
  <c r="H111" i="12" s="1"/>
  <c r="H116" i="12" s="1"/>
  <c r="P105" i="12"/>
  <c r="P111" i="12" s="1"/>
  <c r="P116" i="12" s="1"/>
  <c r="N106" i="12"/>
  <c r="N112" i="12" s="1"/>
  <c r="N117" i="12" s="1"/>
  <c r="P106" i="12"/>
  <c r="P112" i="12" s="1"/>
  <c r="P117" i="12" s="1"/>
  <c r="T105" i="12"/>
  <c r="T111" i="12" s="1"/>
  <c r="T116" i="12" s="1"/>
  <c r="AB105" i="12"/>
  <c r="AB111" i="12" s="1"/>
  <c r="AB116" i="12" s="1"/>
  <c r="O104" i="12"/>
  <c r="O110" i="12" s="1"/>
  <c r="O115" i="12" s="1"/>
  <c r="P104" i="12"/>
  <c r="P110" i="12" s="1"/>
  <c r="P115" i="12" s="1"/>
  <c r="N88" i="12"/>
  <c r="N94" i="12" s="1"/>
  <c r="N99" i="12" s="1"/>
  <c r="H88" i="12"/>
  <c r="H94" i="12" s="1"/>
  <c r="H99" i="12" s="1"/>
  <c r="L103" i="12"/>
  <c r="L109" i="12" s="1"/>
  <c r="L114" i="12" s="1"/>
  <c r="T103" i="12"/>
  <c r="T109" i="12" s="1"/>
  <c r="T114" i="12" s="1"/>
  <c r="R103" i="12"/>
  <c r="R109" i="12" s="1"/>
  <c r="R114" i="12" s="1"/>
  <c r="P103" i="12"/>
  <c r="P109" i="12" s="1"/>
  <c r="P114" i="12" s="1"/>
  <c r="K103" i="12"/>
  <c r="K109" i="12" s="1"/>
  <c r="K114" i="12" s="1"/>
  <c r="I103" i="12"/>
  <c r="I109" i="12" s="1"/>
  <c r="I114" i="12" s="1"/>
  <c r="Q103" i="12"/>
  <c r="Q109" i="12" s="1"/>
  <c r="Q114" i="12" s="1"/>
  <c r="S103" i="12"/>
  <c r="S109" i="12" s="1"/>
  <c r="S114" i="12" s="1"/>
  <c r="J103" i="12"/>
  <c r="J109" i="12" s="1"/>
  <c r="J114" i="12" s="1"/>
  <c r="N103" i="12"/>
  <c r="N109" i="12" s="1"/>
  <c r="N114" i="12" s="1"/>
  <c r="M103" i="12"/>
  <c r="M109" i="12" s="1"/>
  <c r="M114" i="12" s="1"/>
  <c r="O103" i="12"/>
  <c r="O109" i="12" s="1"/>
  <c r="O114" i="12" s="1"/>
  <c r="I104" i="12"/>
  <c r="I110" i="12" s="1"/>
  <c r="I115" i="12" s="1"/>
  <c r="J104" i="12"/>
  <c r="J110" i="12" s="1"/>
  <c r="J115" i="12" s="1"/>
  <c r="K104" i="12"/>
  <c r="K110" i="12" s="1"/>
  <c r="K115" i="12" s="1"/>
  <c r="M104" i="12"/>
  <c r="M110" i="12" s="1"/>
  <c r="M115" i="12" s="1"/>
  <c r="N104" i="12"/>
  <c r="N110" i="12" s="1"/>
  <c r="N115" i="12" s="1"/>
  <c r="L104" i="12"/>
  <c r="L110" i="12" s="1"/>
  <c r="L115" i="12" s="1"/>
  <c r="N86" i="12"/>
  <c r="N92" i="12" s="1"/>
  <c r="N97" i="12" s="1"/>
  <c r="M86" i="12"/>
  <c r="M92" i="12" s="1"/>
  <c r="M97" i="12" s="1"/>
  <c r="K86" i="12"/>
  <c r="K92" i="12" s="1"/>
  <c r="K97" i="12" s="1"/>
  <c r="J86" i="12"/>
  <c r="J92" i="12" s="1"/>
  <c r="J97" i="12" s="1"/>
  <c r="I86" i="12"/>
  <c r="I92" i="12" s="1"/>
  <c r="I97" i="12" s="1"/>
  <c r="L86" i="12"/>
  <c r="L92" i="12" s="1"/>
  <c r="L97" i="12" s="1"/>
  <c r="F127" i="12" l="1"/>
  <c r="E132" i="12" l="1"/>
  <c r="J26"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 Cardona</author>
    <author>Gabe Mantegna</author>
  </authors>
  <commentList>
    <comment ref="C37" authorId="0" shapeId="0" xr:uid="{1C36B02A-97DE-49EF-A873-A317142D3125}">
      <text>
        <r>
          <rPr>
            <b/>
            <sz val="9"/>
            <color indexed="81"/>
            <rFont val="Tahoma"/>
            <charset val="1"/>
          </rPr>
          <t>Jen Cardona:</t>
        </r>
        <r>
          <rPr>
            <sz val="9"/>
            <color indexed="81"/>
            <rFont val="Tahoma"/>
            <charset val="1"/>
          </rPr>
          <t xml:space="preserve">
User-specified device lifetime should be used if at all possible, since the ARB average represents a wide range of devices.</t>
        </r>
      </text>
    </comment>
    <comment ref="D60" authorId="1" shapeId="0" xr:uid="{ADCE14CB-D332-406E-83F2-4E635EDC956A}">
      <text>
        <r>
          <rPr>
            <b/>
            <sz val="10"/>
            <color rgb="FF000000"/>
            <rFont val="Tahoma"/>
            <family val="2"/>
          </rPr>
          <t>Gabe Mantegna:</t>
        </r>
        <r>
          <rPr>
            <sz val="10"/>
            <color rgb="FF000000"/>
            <rFont val="Tahoma"/>
            <family val="2"/>
          </rPr>
          <t xml:space="preserve">
</t>
        </r>
        <r>
          <rPr>
            <sz val="10"/>
            <color rgb="FF000000"/>
            <rFont val="Tahoma"/>
            <family val="2"/>
          </rPr>
          <t>100-yr GWP is default value adopted by Commission. 20-yr GWP is an option for sensitivity analysis.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Gabe Mantegna</author>
    <author>Microsoft Office User</author>
  </authors>
  <commentList>
    <comment ref="A1" authorId="0" shapeId="0" xr:uid="{EB218D94-5A59-B649-9A67-D1C7096572FF}">
      <text>
        <r>
          <rPr>
            <b/>
            <sz val="9"/>
            <color rgb="FF000000"/>
            <rFont val="Tahoma"/>
            <family val="2"/>
          </rPr>
          <t>Gabe Mantegna:</t>
        </r>
        <r>
          <rPr>
            <sz val="9"/>
            <color rgb="FF000000"/>
            <rFont val="Tahoma"/>
            <family val="2"/>
          </rPr>
          <t xml:space="preserve">
</t>
        </r>
        <r>
          <rPr>
            <sz val="9"/>
            <color rgb="FF000000"/>
            <rFont val="Tahoma"/>
            <family val="2"/>
          </rPr>
          <t>This tab copied from ACC.</t>
        </r>
      </text>
    </comment>
    <comment ref="H1" authorId="1" shapeId="0" xr:uid="{8B31660C-7B1F-874B-BBCC-BB545B003436}">
      <text>
        <r>
          <rPr>
            <b/>
            <sz val="10"/>
            <color rgb="FF000000"/>
            <rFont val="Tahoma"/>
            <family val="2"/>
          </rPr>
          <t>Microsoft Office User:</t>
        </r>
        <r>
          <rPr>
            <sz val="10"/>
            <color rgb="FF000000"/>
            <rFont val="Tahoma"/>
            <family val="2"/>
          </rPr>
          <t xml:space="preserve">
</t>
        </r>
        <r>
          <rPr>
            <sz val="10"/>
            <color rgb="FF000000"/>
            <rFont val="Tahoma"/>
            <family val="2"/>
          </rPr>
          <t>Primary values for use from this tab. Equal to (q_ann,i * t_i + q_EOL,i * (1 - q_ann,i * t_EOL,i)) in documentation</t>
        </r>
      </text>
    </comment>
    <comment ref="I1" authorId="1" shapeId="0" xr:uid="{469270AC-667E-954B-B50A-7FE03ECA15BC}">
      <text>
        <r>
          <rPr>
            <b/>
            <sz val="10"/>
            <color rgb="FF000000"/>
            <rFont val="Tahoma"/>
            <family val="2"/>
          </rPr>
          <t>Microsoft Office User:</t>
        </r>
        <r>
          <rPr>
            <sz val="10"/>
            <color rgb="FF000000"/>
            <rFont val="Tahoma"/>
            <family val="2"/>
          </rPr>
          <t xml:space="preserve">
</t>
        </r>
        <r>
          <rPr>
            <sz val="10"/>
            <color rgb="FF000000"/>
            <rFont val="Tahoma"/>
            <family val="2"/>
          </rPr>
          <t>Illustrative only. Must use actual refrigerant charge for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Gabe Mantegna</author>
  </authors>
  <commentList>
    <comment ref="A1" authorId="0" shapeId="0" xr:uid="{5CCE748F-ADCD-C645-8699-90C3A6E12A96}">
      <text>
        <r>
          <rPr>
            <b/>
            <sz val="9"/>
            <color rgb="FF000000"/>
            <rFont val="Tahoma"/>
            <family val="2"/>
          </rPr>
          <t>Gabe Mantegna:</t>
        </r>
        <r>
          <rPr>
            <sz val="9"/>
            <color rgb="FF000000"/>
            <rFont val="Tahoma"/>
            <family val="2"/>
          </rPr>
          <t xml:space="preserve">
</t>
        </r>
        <r>
          <rPr>
            <sz val="9"/>
            <color rgb="FF000000"/>
            <rFont val="Tahoma"/>
            <family val="2"/>
          </rPr>
          <t>This tab copied from ACC.</t>
        </r>
      </text>
    </comment>
  </commentList>
</comments>
</file>

<file path=xl/sharedStrings.xml><?xml version="1.0" encoding="utf-8"?>
<sst xmlns="http://schemas.openxmlformats.org/spreadsheetml/2006/main" count="612" uniqueCount="528">
  <si>
    <t>Cell Color Coding</t>
  </si>
  <si>
    <t>Calculated Input</t>
  </si>
  <si>
    <t>Lookup Formula</t>
  </si>
  <si>
    <t>Final Outputs</t>
  </si>
  <si>
    <t>Input Value</t>
  </si>
  <si>
    <t>Notes</t>
  </si>
  <si>
    <t>Device type</t>
  </si>
  <si>
    <t>Sector</t>
  </si>
  <si>
    <t>Average lifetime (years)</t>
  </si>
  <si>
    <t>Average charge size (amount of refrigerant) in lbs. per unit</t>
  </si>
  <si>
    <t>Average annual leak rate (q_ann)</t>
  </si>
  <si>
    <t>Average end-of-life loss rate of remaining refrigerant (q_EOL)</t>
  </si>
  <si>
    <t>Number of years prior to EOL with no "top-off" refrigerant added to replace full charge (t_EOL)</t>
  </si>
  <si>
    <t>Percentage of refrigerant charge lost during lifetime</t>
  </si>
  <si>
    <t>Mass of refrigerant lost during lifetime for average unit (lbs)</t>
  </si>
  <si>
    <t>Stationary Refrigeration</t>
  </si>
  <si>
    <t xml:space="preserve">Large retail food refrigeration 2,000 lbs. + </t>
  </si>
  <si>
    <t xml:space="preserve">Medium retail food refrigeration 200-2,000 lbs. </t>
  </si>
  <si>
    <t xml:space="preserve">Small retail food refrigeration 50-200 lbs. </t>
  </si>
  <si>
    <t>Sub-small retail food refrigeration &lt; 50 lbs.</t>
  </si>
  <si>
    <t xml:space="preserve">Large commercial refrigeration 2,000 lbs. + </t>
  </si>
  <si>
    <t xml:space="preserve">Medium commercial refrigeration 200-2,000 lbs. </t>
  </si>
  <si>
    <t xml:space="preserve">Small commercial refrigeration 50-200 lbs. </t>
  </si>
  <si>
    <t>Sub-small commercial refrigeration &lt; 50 lbs.</t>
  </si>
  <si>
    <t>Large cold storage 2,000 lbs. +</t>
  </si>
  <si>
    <t>Medium cold storage 200-2,000 lbs.</t>
  </si>
  <si>
    <t>Small cold storage 50-200 lbs.</t>
  </si>
  <si>
    <t>Large industrial process cooling 2,000 lbs. +</t>
  </si>
  <si>
    <t>Medium industrial process cooling 200-2,000 lbs.</t>
  </si>
  <si>
    <t>Small industrial process cooling 50-200 lbs.</t>
  </si>
  <si>
    <t>Stand alone (self-contained) refrig units</t>
  </si>
  <si>
    <t>Refrigerated Food Processing and Dispensing Equipment</t>
  </si>
  <si>
    <t>Commercial Ice Machines</t>
  </si>
  <si>
    <t>Water Coolers - Drinking Fountains</t>
  </si>
  <si>
    <t>Refrigerated vending machines</t>
  </si>
  <si>
    <t>Heat Pump Water Heaters</t>
  </si>
  <si>
    <t>Heat Pump Clothes Dryers</t>
  </si>
  <si>
    <t>Household refrigerator freezer</t>
  </si>
  <si>
    <t>Stationary Air-conditioning</t>
  </si>
  <si>
    <t>Large Chiller 2,000 lbs. +</t>
  </si>
  <si>
    <t>Medium Chiller 200-2,000 lbs.</t>
  </si>
  <si>
    <t>Commercial Unitary AC 50-200 lbs., &gt; 135,000 BTUh size</t>
  </si>
  <si>
    <t>Commercial Unitary AC, &lt; 50-lbs., &lt; 135,000 BTUh size (includes smaller "residential-type" central AC and heat pumps)</t>
  </si>
  <si>
    <t>Window/Room AC and PTAC Units, commercial</t>
  </si>
  <si>
    <t>Residential Unitary AC</t>
  </si>
  <si>
    <t>Residential Heat Pumps</t>
  </si>
  <si>
    <t>Window/Room/Wall AC and Packaged Terminal AC (PTAC) Units, residential</t>
  </si>
  <si>
    <t>Portable AC</t>
  </si>
  <si>
    <t>Dehumidifiers</t>
  </si>
  <si>
    <t>MVAC and Transport Refrigeration</t>
  </si>
  <si>
    <t>Mobile Vehicle AC (MVAC) Light Duty (LD)</t>
  </si>
  <si>
    <t>MVAC Heavy Duty (HD) (non-bus)</t>
  </si>
  <si>
    <t>MVAC Bus</t>
  </si>
  <si>
    <t>MVAC Off-Road</t>
  </si>
  <si>
    <t>Transport Refrigerated Units (TRUs)</t>
  </si>
  <si>
    <t>Refrigerated Shipping Containers</t>
  </si>
  <si>
    <t>Ships</t>
  </si>
  <si>
    <t>Common name of refrigerant/GHG</t>
  </si>
  <si>
    <t xml:space="preserve">Full Name </t>
  </si>
  <si>
    <t>Atmospheric Life Time in Years</t>
  </si>
  <si>
    <t>100-year GWP Values from IPCC Fourth Assessment Report (AR4) (2007)</t>
  </si>
  <si>
    <t>20-year GWP Values from IPCC Fourth Assessment Report (AR4) (2007)</t>
  </si>
  <si>
    <t>CFC-11</t>
  </si>
  <si>
    <r>
      <t>Trichlorofluoromethane (CCl</t>
    </r>
    <r>
      <rPr>
        <vertAlign val="subscript"/>
        <sz val="10"/>
        <rFont val="Arial"/>
        <family val="2"/>
      </rPr>
      <t>3</t>
    </r>
    <r>
      <rPr>
        <sz val="11"/>
        <color theme="1"/>
        <rFont val="Calibri"/>
        <family val="2"/>
        <scheme val="minor"/>
      </rPr>
      <t>F)</t>
    </r>
  </si>
  <si>
    <t>CFC-12</t>
  </si>
  <si>
    <r>
      <t>Dichlorodifluoromethane (CCl</t>
    </r>
    <r>
      <rPr>
        <vertAlign val="subscript"/>
        <sz val="10"/>
        <rFont val="Arial"/>
        <family val="2"/>
      </rPr>
      <t>2</t>
    </r>
    <r>
      <rPr>
        <sz val="11"/>
        <color theme="1"/>
        <rFont val="Calibri"/>
        <family val="2"/>
        <scheme val="minor"/>
      </rPr>
      <t>F</t>
    </r>
    <r>
      <rPr>
        <vertAlign val="subscript"/>
        <sz val="10"/>
        <rFont val="Arial"/>
        <family val="2"/>
      </rPr>
      <t>2</t>
    </r>
    <r>
      <rPr>
        <sz val="11"/>
        <color theme="1"/>
        <rFont val="Calibri"/>
        <family val="2"/>
        <scheme val="minor"/>
      </rPr>
      <t xml:space="preserve">) </t>
    </r>
  </si>
  <si>
    <t>CFC-13</t>
  </si>
  <si>
    <r>
      <t>Chlorotrifluoromethane (CClF</t>
    </r>
    <r>
      <rPr>
        <vertAlign val="subscript"/>
        <sz val="10"/>
        <rFont val="Arial"/>
        <family val="2"/>
      </rPr>
      <t>3</t>
    </r>
    <r>
      <rPr>
        <sz val="11"/>
        <color theme="1"/>
        <rFont val="Calibri"/>
        <family val="2"/>
        <scheme val="minor"/>
      </rPr>
      <t>)</t>
    </r>
  </si>
  <si>
    <t>CFC-113</t>
  </si>
  <si>
    <r>
      <t>1,1,2-Trichlorotrifluoroethane (C</t>
    </r>
    <r>
      <rPr>
        <vertAlign val="subscript"/>
        <sz val="10"/>
        <rFont val="Arial"/>
        <family val="2"/>
      </rPr>
      <t>2</t>
    </r>
    <r>
      <rPr>
        <sz val="11"/>
        <color theme="1"/>
        <rFont val="Calibri"/>
        <family val="2"/>
        <scheme val="minor"/>
      </rPr>
      <t>F</t>
    </r>
    <r>
      <rPr>
        <vertAlign val="subscript"/>
        <sz val="10"/>
        <rFont val="Arial"/>
        <family val="2"/>
      </rPr>
      <t>3</t>
    </r>
    <r>
      <rPr>
        <sz val="11"/>
        <color theme="1"/>
        <rFont val="Calibri"/>
        <family val="2"/>
        <scheme val="minor"/>
      </rPr>
      <t>Cl</t>
    </r>
    <r>
      <rPr>
        <vertAlign val="subscript"/>
        <sz val="10"/>
        <rFont val="Arial"/>
        <family val="2"/>
      </rPr>
      <t>3</t>
    </r>
    <r>
      <rPr>
        <sz val="11"/>
        <color theme="1"/>
        <rFont val="Calibri"/>
        <family val="2"/>
        <scheme val="minor"/>
      </rPr>
      <t xml:space="preserve">)    </t>
    </r>
  </si>
  <si>
    <t>CFC-114</t>
  </si>
  <si>
    <r>
      <t>Dichlorotetrafluoroethane (C</t>
    </r>
    <r>
      <rPr>
        <vertAlign val="subscript"/>
        <sz val="10"/>
        <rFont val="Arial"/>
        <family val="2"/>
      </rPr>
      <t>2</t>
    </r>
    <r>
      <rPr>
        <sz val="11"/>
        <color theme="1"/>
        <rFont val="Calibri"/>
        <family val="2"/>
        <scheme val="minor"/>
      </rPr>
      <t>F</t>
    </r>
    <r>
      <rPr>
        <vertAlign val="subscript"/>
        <sz val="10"/>
        <rFont val="Arial"/>
        <family val="2"/>
      </rPr>
      <t>4</t>
    </r>
    <r>
      <rPr>
        <sz val="11"/>
        <color theme="1"/>
        <rFont val="Calibri"/>
        <family val="2"/>
        <scheme val="minor"/>
      </rPr>
      <t>Cl</t>
    </r>
    <r>
      <rPr>
        <vertAlign val="subscript"/>
        <sz val="10"/>
        <rFont val="Arial"/>
        <family val="2"/>
      </rPr>
      <t>2</t>
    </r>
    <r>
      <rPr>
        <sz val="11"/>
        <color theme="1"/>
        <rFont val="Calibri"/>
        <family val="2"/>
        <scheme val="minor"/>
      </rPr>
      <t>)</t>
    </r>
  </si>
  <si>
    <t>CFC-115</t>
  </si>
  <si>
    <r>
      <t>Monochloropentafluoroethane (C</t>
    </r>
    <r>
      <rPr>
        <vertAlign val="subscript"/>
        <sz val="10"/>
        <rFont val="Arial"/>
        <family val="2"/>
      </rPr>
      <t>2</t>
    </r>
    <r>
      <rPr>
        <sz val="11"/>
        <color theme="1"/>
        <rFont val="Calibri"/>
        <family val="2"/>
        <scheme val="minor"/>
      </rPr>
      <t>F</t>
    </r>
    <r>
      <rPr>
        <vertAlign val="subscript"/>
        <sz val="10"/>
        <rFont val="Arial"/>
        <family val="2"/>
      </rPr>
      <t>5</t>
    </r>
    <r>
      <rPr>
        <sz val="11"/>
        <color theme="1"/>
        <rFont val="Calibri"/>
        <family val="2"/>
        <scheme val="minor"/>
      </rPr>
      <t>Cl)</t>
    </r>
  </si>
  <si>
    <t>Halon 1211</t>
  </si>
  <si>
    <r>
      <t>Bromochlorodifluoromethane (CF</t>
    </r>
    <r>
      <rPr>
        <vertAlign val="subscript"/>
        <sz val="10"/>
        <rFont val="Arial"/>
        <family val="2"/>
      </rPr>
      <t>2</t>
    </r>
    <r>
      <rPr>
        <sz val="11"/>
        <color theme="1"/>
        <rFont val="Calibri"/>
        <family val="2"/>
        <scheme val="minor"/>
      </rPr>
      <t>ClBr)</t>
    </r>
  </si>
  <si>
    <t>Halon 1301</t>
  </si>
  <si>
    <r>
      <t>Bromotrifluoromethane (CF</t>
    </r>
    <r>
      <rPr>
        <vertAlign val="subscript"/>
        <sz val="10"/>
        <rFont val="Arial"/>
        <family val="2"/>
      </rPr>
      <t>3</t>
    </r>
    <r>
      <rPr>
        <sz val="11"/>
        <color theme="1"/>
        <rFont val="Calibri"/>
        <family val="2"/>
        <scheme val="minor"/>
      </rPr>
      <t>Br)</t>
    </r>
  </si>
  <si>
    <t>Halon 2402</t>
  </si>
  <si>
    <r>
      <t>Dibromotetrafluoroethane (C</t>
    </r>
    <r>
      <rPr>
        <vertAlign val="subscript"/>
        <sz val="10"/>
        <rFont val="Arial"/>
        <family val="2"/>
      </rPr>
      <t>2</t>
    </r>
    <r>
      <rPr>
        <sz val="11"/>
        <color theme="1"/>
        <rFont val="Calibri"/>
        <family val="2"/>
        <scheme val="minor"/>
      </rPr>
      <t>F</t>
    </r>
    <r>
      <rPr>
        <vertAlign val="subscript"/>
        <sz val="10"/>
        <rFont val="Arial"/>
        <family val="2"/>
      </rPr>
      <t>4</t>
    </r>
    <r>
      <rPr>
        <sz val="11"/>
        <color theme="1"/>
        <rFont val="Calibri"/>
        <family val="2"/>
        <scheme val="minor"/>
      </rPr>
      <t>Br</t>
    </r>
    <r>
      <rPr>
        <vertAlign val="subscript"/>
        <sz val="10"/>
        <rFont val="Arial"/>
        <family val="2"/>
      </rPr>
      <t>2</t>
    </r>
    <r>
      <rPr>
        <sz val="11"/>
        <color theme="1"/>
        <rFont val="Calibri"/>
        <family val="2"/>
        <scheme val="minor"/>
      </rPr>
      <t>)</t>
    </r>
  </si>
  <si>
    <t>Carbon tetrachloride</t>
  </si>
  <si>
    <r>
      <t>Carbon tetrachloride (CCl</t>
    </r>
    <r>
      <rPr>
        <vertAlign val="subscript"/>
        <sz val="10"/>
        <rFont val="Arial"/>
        <family val="2"/>
      </rPr>
      <t>4</t>
    </r>
    <r>
      <rPr>
        <sz val="11"/>
        <color theme="1"/>
        <rFont val="Calibri"/>
        <family val="2"/>
        <scheme val="minor"/>
      </rPr>
      <t>)</t>
    </r>
  </si>
  <si>
    <t>Methyl bromide</t>
  </si>
  <si>
    <r>
      <t>Methyl bromide (CH</t>
    </r>
    <r>
      <rPr>
        <vertAlign val="subscript"/>
        <sz val="10"/>
        <rFont val="Arial"/>
        <family val="2"/>
      </rPr>
      <t>3</t>
    </r>
    <r>
      <rPr>
        <sz val="11"/>
        <color theme="1"/>
        <rFont val="Calibri"/>
        <family val="2"/>
        <scheme val="minor"/>
      </rPr>
      <t>Br)</t>
    </r>
  </si>
  <si>
    <t>Methyl chloroform (R-140a)</t>
  </si>
  <si>
    <r>
      <t>1,1,1-trichloroethane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Cl</t>
    </r>
    <r>
      <rPr>
        <vertAlign val="subscript"/>
        <sz val="10"/>
        <rFont val="Arial"/>
        <family val="2"/>
      </rPr>
      <t>3</t>
    </r>
    <r>
      <rPr>
        <sz val="11"/>
        <color theme="1"/>
        <rFont val="Calibri"/>
        <family val="2"/>
        <scheme val="minor"/>
      </rPr>
      <t>)</t>
    </r>
  </si>
  <si>
    <t>Methylene chloride</t>
  </si>
  <si>
    <r>
      <t>Dichloromethane (CH</t>
    </r>
    <r>
      <rPr>
        <vertAlign val="subscript"/>
        <sz val="10"/>
        <rFont val="Arial"/>
        <family val="2"/>
      </rPr>
      <t>2</t>
    </r>
    <r>
      <rPr>
        <sz val="11"/>
        <color theme="1"/>
        <rFont val="Calibri"/>
        <family val="2"/>
        <scheme val="minor"/>
      </rPr>
      <t>Cl</t>
    </r>
    <r>
      <rPr>
        <vertAlign val="subscript"/>
        <sz val="10"/>
        <rFont val="Arial"/>
        <family val="2"/>
      </rPr>
      <t>2</t>
    </r>
    <r>
      <rPr>
        <sz val="11"/>
        <color theme="1"/>
        <rFont val="Calibri"/>
        <family val="2"/>
        <scheme val="minor"/>
      </rPr>
      <t>)</t>
    </r>
  </si>
  <si>
    <t>HCFC-21</t>
  </si>
  <si>
    <r>
      <t>Dichlorofluoromethane (CHFCl</t>
    </r>
    <r>
      <rPr>
        <vertAlign val="subscript"/>
        <sz val="10"/>
        <rFont val="Arial"/>
        <family val="2"/>
      </rPr>
      <t>2</t>
    </r>
    <r>
      <rPr>
        <sz val="10"/>
        <rFont val="Arial"/>
        <family val="2"/>
      </rPr>
      <t>)</t>
    </r>
  </si>
  <si>
    <t>HCFC-22</t>
  </si>
  <si>
    <r>
      <t>Monochlorodifluoromethane (CHClF</t>
    </r>
    <r>
      <rPr>
        <vertAlign val="subscript"/>
        <sz val="10"/>
        <rFont val="Arial"/>
        <family val="2"/>
      </rPr>
      <t>2</t>
    </r>
    <r>
      <rPr>
        <sz val="11"/>
        <color theme="1"/>
        <rFont val="Calibri"/>
        <family val="2"/>
        <scheme val="minor"/>
      </rPr>
      <t>)</t>
    </r>
  </si>
  <si>
    <t>HCFC-123</t>
  </si>
  <si>
    <r>
      <t>Dichlorotrifluoroethane (C</t>
    </r>
    <r>
      <rPr>
        <vertAlign val="subscript"/>
        <sz val="10"/>
        <rFont val="Arial"/>
        <family val="2"/>
      </rPr>
      <t>2</t>
    </r>
    <r>
      <rPr>
        <sz val="11"/>
        <color theme="1"/>
        <rFont val="Calibri"/>
        <family val="2"/>
        <scheme val="minor"/>
      </rPr>
      <t>HF</t>
    </r>
    <r>
      <rPr>
        <vertAlign val="subscript"/>
        <sz val="10"/>
        <rFont val="Arial"/>
        <family val="2"/>
      </rPr>
      <t>3</t>
    </r>
    <r>
      <rPr>
        <sz val="11"/>
        <color theme="1"/>
        <rFont val="Calibri"/>
        <family val="2"/>
        <scheme val="minor"/>
      </rPr>
      <t>Cl</t>
    </r>
    <r>
      <rPr>
        <vertAlign val="subscript"/>
        <sz val="10"/>
        <rFont val="Arial"/>
        <family val="2"/>
      </rPr>
      <t>2</t>
    </r>
    <r>
      <rPr>
        <sz val="11"/>
        <color theme="1"/>
        <rFont val="Calibri"/>
        <family val="2"/>
        <scheme val="minor"/>
      </rPr>
      <t>)</t>
    </r>
  </si>
  <si>
    <t>HCFC-124</t>
  </si>
  <si>
    <r>
      <t>Monochlorotetrafluoroethane (C</t>
    </r>
    <r>
      <rPr>
        <vertAlign val="subscript"/>
        <sz val="10"/>
        <rFont val="Arial"/>
        <family val="2"/>
      </rPr>
      <t>2</t>
    </r>
    <r>
      <rPr>
        <sz val="11"/>
        <color theme="1"/>
        <rFont val="Calibri"/>
        <family val="2"/>
        <scheme val="minor"/>
      </rPr>
      <t>HF</t>
    </r>
    <r>
      <rPr>
        <vertAlign val="subscript"/>
        <sz val="10"/>
        <rFont val="Arial"/>
        <family val="2"/>
      </rPr>
      <t>4</t>
    </r>
    <r>
      <rPr>
        <sz val="11"/>
        <color theme="1"/>
        <rFont val="Calibri"/>
        <family val="2"/>
        <scheme val="minor"/>
      </rPr>
      <t>Cl)</t>
    </r>
  </si>
  <si>
    <t>HCFC-141b</t>
  </si>
  <si>
    <r>
      <t>Dichlorofluoroethane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FCl</t>
    </r>
    <r>
      <rPr>
        <vertAlign val="subscript"/>
        <sz val="10"/>
        <rFont val="Arial"/>
        <family val="2"/>
      </rPr>
      <t>2</t>
    </r>
    <r>
      <rPr>
        <sz val="11"/>
        <color theme="1"/>
        <rFont val="Calibri"/>
        <family val="2"/>
        <scheme val="minor"/>
      </rPr>
      <t>)</t>
    </r>
  </si>
  <si>
    <t>HCFC-142b</t>
  </si>
  <si>
    <r>
      <t>Monochlorodifluoroethane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F</t>
    </r>
    <r>
      <rPr>
        <vertAlign val="subscript"/>
        <sz val="10"/>
        <rFont val="Arial"/>
        <family val="2"/>
      </rPr>
      <t>2</t>
    </r>
    <r>
      <rPr>
        <sz val="11"/>
        <color theme="1"/>
        <rFont val="Calibri"/>
        <family val="2"/>
        <scheme val="minor"/>
      </rPr>
      <t>Cl)</t>
    </r>
  </si>
  <si>
    <t>HCFC-225ca</t>
  </si>
  <si>
    <r>
      <t>Dichloropentafluoropropane (C</t>
    </r>
    <r>
      <rPr>
        <vertAlign val="subscript"/>
        <sz val="10"/>
        <rFont val="Arial"/>
        <family val="2"/>
      </rPr>
      <t>3</t>
    </r>
    <r>
      <rPr>
        <sz val="11"/>
        <color theme="1"/>
        <rFont val="Calibri"/>
        <family val="2"/>
        <scheme val="minor"/>
      </rPr>
      <t>HF</t>
    </r>
    <r>
      <rPr>
        <vertAlign val="subscript"/>
        <sz val="10"/>
        <rFont val="Arial"/>
        <family val="2"/>
      </rPr>
      <t>5</t>
    </r>
    <r>
      <rPr>
        <sz val="11"/>
        <color theme="1"/>
        <rFont val="Calibri"/>
        <family val="2"/>
        <scheme val="minor"/>
      </rPr>
      <t>Cl</t>
    </r>
    <r>
      <rPr>
        <vertAlign val="subscript"/>
        <sz val="10"/>
        <rFont val="Arial"/>
        <family val="2"/>
      </rPr>
      <t>2</t>
    </r>
    <r>
      <rPr>
        <sz val="11"/>
        <color theme="1"/>
        <rFont val="Calibri"/>
        <family val="2"/>
        <scheme val="minor"/>
      </rPr>
      <t>)</t>
    </r>
  </si>
  <si>
    <t>HCFC-225cb</t>
  </si>
  <si>
    <r>
      <t>Dichloropentafluoropropane (CHClFCF</t>
    </r>
    <r>
      <rPr>
        <vertAlign val="subscript"/>
        <sz val="10"/>
        <rFont val="Arial"/>
        <family val="2"/>
      </rPr>
      <t>2</t>
    </r>
    <r>
      <rPr>
        <sz val="11"/>
        <color theme="1"/>
        <rFont val="Calibri"/>
        <family val="2"/>
        <scheme val="minor"/>
      </rPr>
      <t>CClF</t>
    </r>
    <r>
      <rPr>
        <vertAlign val="subscript"/>
        <sz val="10"/>
        <rFont val="Arial"/>
        <family val="2"/>
      </rPr>
      <t>2</t>
    </r>
    <r>
      <rPr>
        <sz val="11"/>
        <color theme="1"/>
        <rFont val="Calibri"/>
        <family val="2"/>
        <scheme val="minor"/>
      </rPr>
      <t>)</t>
    </r>
  </si>
  <si>
    <t>Carbon Dioxide</t>
  </si>
  <si>
    <r>
      <t>Carbon Dioxide (CO</t>
    </r>
    <r>
      <rPr>
        <vertAlign val="subscript"/>
        <sz val="10"/>
        <rFont val="Arial"/>
        <family val="2"/>
      </rPr>
      <t>2</t>
    </r>
    <r>
      <rPr>
        <sz val="11"/>
        <color theme="1"/>
        <rFont val="Calibri"/>
        <family val="2"/>
        <scheme val="minor"/>
      </rPr>
      <t>)</t>
    </r>
  </si>
  <si>
    <t>50-200</t>
  </si>
  <si>
    <t>Methane</t>
  </si>
  <si>
    <r>
      <t>Methane (CH</t>
    </r>
    <r>
      <rPr>
        <vertAlign val="subscript"/>
        <sz val="10"/>
        <rFont val="Arial"/>
        <family val="2"/>
      </rPr>
      <t>4</t>
    </r>
    <r>
      <rPr>
        <sz val="11"/>
        <color theme="1"/>
        <rFont val="Calibri"/>
        <family val="2"/>
        <scheme val="minor"/>
      </rPr>
      <t>)</t>
    </r>
  </si>
  <si>
    <t>Nitrous Oxide</t>
  </si>
  <si>
    <r>
      <t>Nitrous Oxide (N</t>
    </r>
    <r>
      <rPr>
        <vertAlign val="subscript"/>
        <sz val="10"/>
        <rFont val="Arial"/>
        <family val="2"/>
      </rPr>
      <t>2</t>
    </r>
    <r>
      <rPr>
        <sz val="11"/>
        <color theme="1"/>
        <rFont val="Calibri"/>
        <family val="2"/>
        <scheme val="minor"/>
      </rPr>
      <t>O)</t>
    </r>
  </si>
  <si>
    <t>HFC-23</t>
  </si>
  <si>
    <r>
      <t>Trifluoromethane (CHF</t>
    </r>
    <r>
      <rPr>
        <vertAlign val="subscript"/>
        <sz val="10"/>
        <rFont val="Arial"/>
        <family val="2"/>
      </rPr>
      <t>3</t>
    </r>
    <r>
      <rPr>
        <sz val="11"/>
        <color theme="1"/>
        <rFont val="Calibri"/>
        <family val="2"/>
        <scheme val="minor"/>
      </rPr>
      <t xml:space="preserve">) </t>
    </r>
  </si>
  <si>
    <t>HFC-32</t>
  </si>
  <si>
    <r>
      <t>Difluoromethane (CH</t>
    </r>
    <r>
      <rPr>
        <vertAlign val="subscript"/>
        <sz val="10"/>
        <rFont val="Arial"/>
        <family val="2"/>
      </rPr>
      <t>2</t>
    </r>
    <r>
      <rPr>
        <sz val="11"/>
        <color theme="1"/>
        <rFont val="Calibri"/>
        <family val="2"/>
        <scheme val="minor"/>
      </rPr>
      <t>F</t>
    </r>
    <r>
      <rPr>
        <vertAlign val="subscript"/>
        <sz val="10"/>
        <rFont val="Arial"/>
        <family val="2"/>
      </rPr>
      <t>2</t>
    </r>
    <r>
      <rPr>
        <sz val="11"/>
        <color theme="1"/>
        <rFont val="Calibri"/>
        <family val="2"/>
        <scheme val="minor"/>
      </rPr>
      <t xml:space="preserve">) </t>
    </r>
  </si>
  <si>
    <t>HFC-125</t>
  </si>
  <si>
    <r>
      <t>Pentafluoroethane (C</t>
    </r>
    <r>
      <rPr>
        <vertAlign val="subscript"/>
        <sz val="10"/>
        <rFont val="Arial"/>
        <family val="2"/>
      </rPr>
      <t>2</t>
    </r>
    <r>
      <rPr>
        <sz val="11"/>
        <color theme="1"/>
        <rFont val="Calibri"/>
        <family val="2"/>
        <scheme val="minor"/>
      </rPr>
      <t>HF</t>
    </r>
    <r>
      <rPr>
        <vertAlign val="subscript"/>
        <sz val="10"/>
        <rFont val="Arial"/>
        <family val="2"/>
      </rPr>
      <t>5</t>
    </r>
    <r>
      <rPr>
        <sz val="11"/>
        <color theme="1"/>
        <rFont val="Calibri"/>
        <family val="2"/>
        <scheme val="minor"/>
      </rPr>
      <t>)</t>
    </r>
  </si>
  <si>
    <t>HFC-134a</t>
  </si>
  <si>
    <r>
      <t>1,1,1,2-Tetrafluoroethane (CH</t>
    </r>
    <r>
      <rPr>
        <vertAlign val="subscript"/>
        <sz val="10"/>
        <rFont val="Arial"/>
        <family val="2"/>
      </rPr>
      <t>2</t>
    </r>
    <r>
      <rPr>
        <sz val="11"/>
        <color theme="1"/>
        <rFont val="Calibri"/>
        <family val="2"/>
        <scheme val="minor"/>
      </rPr>
      <t>FCF</t>
    </r>
    <r>
      <rPr>
        <vertAlign val="subscript"/>
        <sz val="10"/>
        <rFont val="Arial"/>
        <family val="2"/>
      </rPr>
      <t>3</t>
    </r>
    <r>
      <rPr>
        <sz val="11"/>
        <color theme="1"/>
        <rFont val="Calibri"/>
        <family val="2"/>
        <scheme val="minor"/>
      </rPr>
      <t>)</t>
    </r>
  </si>
  <si>
    <t>HFC-143a</t>
  </si>
  <si>
    <r>
      <t>1,1,1-Trifluoroethane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F</t>
    </r>
    <r>
      <rPr>
        <vertAlign val="subscript"/>
        <sz val="10"/>
        <rFont val="Arial"/>
        <family val="2"/>
      </rPr>
      <t>3</t>
    </r>
    <r>
      <rPr>
        <sz val="11"/>
        <color theme="1"/>
        <rFont val="Calibri"/>
        <family val="2"/>
        <scheme val="minor"/>
      </rPr>
      <t>)</t>
    </r>
  </si>
  <si>
    <t>HFC-152a</t>
  </si>
  <si>
    <r>
      <t>1,1-Difluoroethane (C</t>
    </r>
    <r>
      <rPr>
        <vertAlign val="subscript"/>
        <sz val="10"/>
        <rFont val="Arial"/>
        <family val="2"/>
      </rPr>
      <t>2</t>
    </r>
    <r>
      <rPr>
        <sz val="11"/>
        <color theme="1"/>
        <rFont val="Calibri"/>
        <family val="2"/>
        <scheme val="minor"/>
      </rPr>
      <t>H</t>
    </r>
    <r>
      <rPr>
        <vertAlign val="subscript"/>
        <sz val="10"/>
        <rFont val="Arial"/>
        <family val="2"/>
      </rPr>
      <t>4</t>
    </r>
    <r>
      <rPr>
        <sz val="11"/>
        <color theme="1"/>
        <rFont val="Calibri"/>
        <family val="2"/>
        <scheme val="minor"/>
      </rPr>
      <t>F</t>
    </r>
    <r>
      <rPr>
        <vertAlign val="subscript"/>
        <sz val="10"/>
        <rFont val="Arial"/>
        <family val="2"/>
      </rPr>
      <t>2</t>
    </r>
    <r>
      <rPr>
        <sz val="11"/>
        <color theme="1"/>
        <rFont val="Calibri"/>
        <family val="2"/>
        <scheme val="minor"/>
      </rPr>
      <t>)</t>
    </r>
  </si>
  <si>
    <t>HFC-161</t>
  </si>
  <si>
    <r>
      <t>Fluoroethane [ethyl fluoride] (CH</t>
    </r>
    <r>
      <rPr>
        <vertAlign val="subscript"/>
        <sz val="10"/>
        <rFont val="Arial"/>
        <family val="2"/>
      </rPr>
      <t>3</t>
    </r>
    <r>
      <rPr>
        <sz val="11"/>
        <color theme="1"/>
        <rFont val="Calibri"/>
        <family val="2"/>
        <scheme val="minor"/>
      </rPr>
      <t>CH</t>
    </r>
    <r>
      <rPr>
        <vertAlign val="subscript"/>
        <sz val="10"/>
        <rFont val="Arial"/>
        <family val="2"/>
      </rPr>
      <t>2</t>
    </r>
    <r>
      <rPr>
        <sz val="11"/>
        <color theme="1"/>
        <rFont val="Calibri"/>
        <family val="2"/>
        <scheme val="minor"/>
      </rPr>
      <t>F)</t>
    </r>
  </si>
  <si>
    <t>HFC-227ea</t>
  </si>
  <si>
    <r>
      <t xml:space="preserve"> 1,1,1,2,3,3,3-Heptafluoropropane (C</t>
    </r>
    <r>
      <rPr>
        <vertAlign val="subscript"/>
        <sz val="10"/>
        <rFont val="Arial"/>
        <family val="2"/>
      </rPr>
      <t>3</t>
    </r>
    <r>
      <rPr>
        <sz val="11"/>
        <color theme="1"/>
        <rFont val="Calibri"/>
        <family val="2"/>
        <scheme val="minor"/>
      </rPr>
      <t>HF</t>
    </r>
    <r>
      <rPr>
        <vertAlign val="subscript"/>
        <sz val="10"/>
        <rFont val="Arial"/>
        <family val="2"/>
      </rPr>
      <t>7</t>
    </r>
    <r>
      <rPr>
        <sz val="11"/>
        <color theme="1"/>
        <rFont val="Calibri"/>
        <family val="2"/>
        <scheme val="minor"/>
      </rPr>
      <t>)</t>
    </r>
  </si>
  <si>
    <t>HFC-236fa</t>
  </si>
  <si>
    <r>
      <t>1,1,1,3,3,3-hexafluoropropane (C</t>
    </r>
    <r>
      <rPr>
        <vertAlign val="subscript"/>
        <sz val="10"/>
        <rFont val="Arial"/>
        <family val="2"/>
      </rPr>
      <t>3</t>
    </r>
    <r>
      <rPr>
        <sz val="11"/>
        <color theme="1"/>
        <rFont val="Calibri"/>
        <family val="2"/>
        <scheme val="minor"/>
      </rPr>
      <t>H</t>
    </r>
    <r>
      <rPr>
        <vertAlign val="subscript"/>
        <sz val="10"/>
        <rFont val="Arial"/>
        <family val="2"/>
      </rPr>
      <t>2</t>
    </r>
    <r>
      <rPr>
        <sz val="11"/>
        <color theme="1"/>
        <rFont val="Calibri"/>
        <family val="2"/>
        <scheme val="minor"/>
      </rPr>
      <t>F</t>
    </r>
    <r>
      <rPr>
        <vertAlign val="subscript"/>
        <sz val="10"/>
        <rFont val="Arial"/>
        <family val="2"/>
      </rPr>
      <t>6</t>
    </r>
    <r>
      <rPr>
        <sz val="11"/>
        <color theme="1"/>
        <rFont val="Calibri"/>
        <family val="2"/>
        <scheme val="minor"/>
      </rPr>
      <t>)</t>
    </r>
  </si>
  <si>
    <t>HFC-245fa</t>
  </si>
  <si>
    <r>
      <t>1,1,1,3,3-pentafluoropropane (C</t>
    </r>
    <r>
      <rPr>
        <vertAlign val="subscript"/>
        <sz val="10"/>
        <rFont val="Arial"/>
        <family val="2"/>
      </rPr>
      <t>3</t>
    </r>
    <r>
      <rPr>
        <sz val="11"/>
        <color theme="1"/>
        <rFont val="Calibri"/>
        <family val="2"/>
        <scheme val="minor"/>
      </rPr>
      <t>H</t>
    </r>
    <r>
      <rPr>
        <vertAlign val="subscript"/>
        <sz val="10"/>
        <rFont val="Arial"/>
        <family val="2"/>
      </rPr>
      <t>3</t>
    </r>
    <r>
      <rPr>
        <sz val="11"/>
        <color theme="1"/>
        <rFont val="Calibri"/>
        <family val="2"/>
        <scheme val="minor"/>
      </rPr>
      <t>F</t>
    </r>
    <r>
      <rPr>
        <vertAlign val="subscript"/>
        <sz val="10"/>
        <rFont val="Arial"/>
        <family val="2"/>
      </rPr>
      <t>5</t>
    </r>
    <r>
      <rPr>
        <sz val="11"/>
        <color theme="1"/>
        <rFont val="Calibri"/>
        <family val="2"/>
        <scheme val="minor"/>
      </rPr>
      <t>)</t>
    </r>
  </si>
  <si>
    <t>HFC-365mfc</t>
  </si>
  <si>
    <r>
      <t>1,1,1,3,3-pentafluorobutane (C</t>
    </r>
    <r>
      <rPr>
        <vertAlign val="subscript"/>
        <sz val="10"/>
        <rFont val="Arial"/>
        <family val="2"/>
      </rPr>
      <t>4</t>
    </r>
    <r>
      <rPr>
        <sz val="11"/>
        <color theme="1"/>
        <rFont val="Calibri"/>
        <family val="2"/>
        <scheme val="minor"/>
      </rPr>
      <t>H</t>
    </r>
    <r>
      <rPr>
        <vertAlign val="subscript"/>
        <sz val="10"/>
        <rFont val="Arial"/>
        <family val="2"/>
      </rPr>
      <t>5</t>
    </r>
    <r>
      <rPr>
        <sz val="11"/>
        <color theme="1"/>
        <rFont val="Calibri"/>
        <family val="2"/>
        <scheme val="minor"/>
      </rPr>
      <t>F</t>
    </r>
    <r>
      <rPr>
        <vertAlign val="subscript"/>
        <sz val="10"/>
        <rFont val="Arial"/>
        <family val="2"/>
      </rPr>
      <t>5</t>
    </r>
    <r>
      <rPr>
        <sz val="11"/>
        <color theme="1"/>
        <rFont val="Calibri"/>
        <family val="2"/>
        <scheme val="minor"/>
      </rPr>
      <t>)</t>
    </r>
  </si>
  <si>
    <t>HFC-43-10mee</t>
  </si>
  <si>
    <r>
      <t>1,1,1,2,2,3,4,5,5,5-decafluoropentane (C</t>
    </r>
    <r>
      <rPr>
        <vertAlign val="subscript"/>
        <sz val="10"/>
        <rFont val="Arial"/>
        <family val="2"/>
      </rPr>
      <t>5</t>
    </r>
    <r>
      <rPr>
        <sz val="11"/>
        <color theme="1"/>
        <rFont val="Calibri"/>
        <family val="2"/>
        <scheme val="minor"/>
      </rPr>
      <t>H</t>
    </r>
    <r>
      <rPr>
        <vertAlign val="subscript"/>
        <sz val="10"/>
        <rFont val="Arial"/>
        <family val="2"/>
      </rPr>
      <t>2</t>
    </r>
    <r>
      <rPr>
        <sz val="11"/>
        <color theme="1"/>
        <rFont val="Calibri"/>
        <family val="2"/>
        <scheme val="minor"/>
      </rPr>
      <t>F</t>
    </r>
    <r>
      <rPr>
        <vertAlign val="subscript"/>
        <sz val="10"/>
        <rFont val="Arial"/>
        <family val="2"/>
      </rPr>
      <t>10</t>
    </r>
    <r>
      <rPr>
        <sz val="11"/>
        <color theme="1"/>
        <rFont val="Calibri"/>
        <family val="2"/>
        <scheme val="minor"/>
      </rPr>
      <t>)</t>
    </r>
  </si>
  <si>
    <t>HFE-7100</t>
  </si>
  <si>
    <r>
      <t>HFE-449s1 (C</t>
    </r>
    <r>
      <rPr>
        <vertAlign val="subscript"/>
        <sz val="10"/>
        <rFont val="Arial"/>
        <family val="2"/>
      </rPr>
      <t>4</t>
    </r>
    <r>
      <rPr>
        <sz val="11"/>
        <color theme="1"/>
        <rFont val="Calibri"/>
        <family val="2"/>
        <scheme val="minor"/>
      </rPr>
      <t>F</t>
    </r>
    <r>
      <rPr>
        <vertAlign val="subscript"/>
        <sz val="10"/>
        <rFont val="Arial"/>
        <family val="2"/>
      </rPr>
      <t>9</t>
    </r>
    <r>
      <rPr>
        <sz val="11"/>
        <color theme="1"/>
        <rFont val="Calibri"/>
        <family val="2"/>
        <scheme val="minor"/>
      </rPr>
      <t>OCH</t>
    </r>
    <r>
      <rPr>
        <vertAlign val="subscript"/>
        <sz val="10"/>
        <rFont val="Arial"/>
        <family val="2"/>
      </rPr>
      <t>3</t>
    </r>
    <r>
      <rPr>
        <sz val="11"/>
        <color theme="1"/>
        <rFont val="Calibri"/>
        <family val="2"/>
        <scheme val="minor"/>
      </rPr>
      <t>)</t>
    </r>
  </si>
  <si>
    <t>HFE-7200</t>
  </si>
  <si>
    <r>
      <t>HFE-569sf2 (C</t>
    </r>
    <r>
      <rPr>
        <vertAlign val="subscript"/>
        <sz val="10"/>
        <rFont val="Arial"/>
        <family val="2"/>
      </rPr>
      <t>4</t>
    </r>
    <r>
      <rPr>
        <sz val="11"/>
        <color theme="1"/>
        <rFont val="Calibri"/>
        <family val="2"/>
        <scheme val="minor"/>
      </rPr>
      <t>F</t>
    </r>
    <r>
      <rPr>
        <vertAlign val="subscript"/>
        <sz val="10"/>
        <rFont val="Arial"/>
        <family val="2"/>
      </rPr>
      <t>9</t>
    </r>
    <r>
      <rPr>
        <sz val="11"/>
        <color theme="1"/>
        <rFont val="Calibri"/>
        <family val="2"/>
        <scheme val="minor"/>
      </rPr>
      <t>OC</t>
    </r>
    <r>
      <rPr>
        <vertAlign val="subscript"/>
        <sz val="10"/>
        <rFont val="Arial"/>
        <family val="2"/>
      </rPr>
      <t>2</t>
    </r>
    <r>
      <rPr>
        <sz val="11"/>
        <color theme="1"/>
        <rFont val="Calibri"/>
        <family val="2"/>
        <scheme val="minor"/>
      </rPr>
      <t>H</t>
    </r>
    <r>
      <rPr>
        <vertAlign val="subscript"/>
        <sz val="10"/>
        <rFont val="Arial"/>
        <family val="2"/>
      </rPr>
      <t>5</t>
    </r>
    <r>
      <rPr>
        <sz val="11"/>
        <color theme="1"/>
        <rFont val="Calibri"/>
        <family val="2"/>
        <scheme val="minor"/>
      </rPr>
      <t>)</t>
    </r>
  </si>
  <si>
    <t>HFE-8200</t>
  </si>
  <si>
    <t>blend ethyl nonafluoroisobutyl ether and ethyl nonafluorobutyl ether</t>
  </si>
  <si>
    <t>PFC-14</t>
  </si>
  <si>
    <r>
      <t>Tetrafluoromethane (CF</t>
    </r>
    <r>
      <rPr>
        <vertAlign val="subscript"/>
        <sz val="10"/>
        <rFont val="Arial"/>
        <family val="2"/>
      </rPr>
      <t>4</t>
    </r>
    <r>
      <rPr>
        <sz val="11"/>
        <color theme="1"/>
        <rFont val="Calibri"/>
        <family val="2"/>
        <scheme val="minor"/>
      </rPr>
      <t>)</t>
    </r>
  </si>
  <si>
    <t>PFC-116</t>
  </si>
  <si>
    <r>
      <t>Hexafluoroethane (C</t>
    </r>
    <r>
      <rPr>
        <vertAlign val="subscript"/>
        <sz val="10"/>
        <rFont val="Arial"/>
        <family val="2"/>
      </rPr>
      <t>2</t>
    </r>
    <r>
      <rPr>
        <sz val="11"/>
        <color theme="1"/>
        <rFont val="Calibri"/>
        <family val="2"/>
        <scheme val="minor"/>
      </rPr>
      <t>F</t>
    </r>
    <r>
      <rPr>
        <vertAlign val="subscript"/>
        <sz val="10"/>
        <rFont val="Arial"/>
        <family val="2"/>
      </rPr>
      <t>6</t>
    </r>
    <r>
      <rPr>
        <sz val="11"/>
        <color theme="1"/>
        <rFont val="Calibri"/>
        <family val="2"/>
        <scheme val="minor"/>
      </rPr>
      <t>)</t>
    </r>
  </si>
  <si>
    <t>PFC-218</t>
  </si>
  <si>
    <r>
      <t>Octafluoropropane (C</t>
    </r>
    <r>
      <rPr>
        <vertAlign val="subscript"/>
        <sz val="10"/>
        <rFont val="Arial"/>
        <family val="2"/>
      </rPr>
      <t>3</t>
    </r>
    <r>
      <rPr>
        <sz val="11"/>
        <color theme="1"/>
        <rFont val="Calibri"/>
        <family val="2"/>
        <scheme val="minor"/>
      </rPr>
      <t>F</t>
    </r>
    <r>
      <rPr>
        <vertAlign val="subscript"/>
        <sz val="10"/>
        <rFont val="Arial"/>
        <family val="2"/>
      </rPr>
      <t>8</t>
    </r>
    <r>
      <rPr>
        <sz val="11"/>
        <color theme="1"/>
        <rFont val="Calibri"/>
        <family val="2"/>
        <scheme val="minor"/>
      </rPr>
      <t>)</t>
    </r>
  </si>
  <si>
    <t>PFC-318</t>
  </si>
  <si>
    <r>
      <t>Perfluorocyclobutane (C</t>
    </r>
    <r>
      <rPr>
        <vertAlign val="subscript"/>
        <sz val="10"/>
        <rFont val="Arial"/>
        <family val="2"/>
      </rPr>
      <t>4</t>
    </r>
    <r>
      <rPr>
        <sz val="11"/>
        <color theme="1"/>
        <rFont val="Calibri"/>
        <family val="2"/>
        <scheme val="minor"/>
      </rPr>
      <t>F</t>
    </r>
    <r>
      <rPr>
        <vertAlign val="subscript"/>
        <sz val="10"/>
        <rFont val="Arial"/>
        <family val="2"/>
      </rPr>
      <t>8</t>
    </r>
    <r>
      <rPr>
        <sz val="11"/>
        <color theme="1"/>
        <rFont val="Calibri"/>
        <family val="2"/>
        <scheme val="minor"/>
      </rPr>
      <t>)</t>
    </r>
  </si>
  <si>
    <t>PFC-31-10</t>
  </si>
  <si>
    <r>
      <t>Perfluorobutane (C</t>
    </r>
    <r>
      <rPr>
        <vertAlign val="subscript"/>
        <sz val="10"/>
        <rFont val="Arial"/>
        <family val="2"/>
      </rPr>
      <t>4</t>
    </r>
    <r>
      <rPr>
        <sz val="11"/>
        <color theme="1"/>
        <rFont val="Calibri"/>
        <family val="2"/>
        <scheme val="minor"/>
      </rPr>
      <t>F</t>
    </r>
    <r>
      <rPr>
        <vertAlign val="subscript"/>
        <sz val="10"/>
        <rFont val="Arial"/>
        <family val="2"/>
      </rPr>
      <t>10</t>
    </r>
    <r>
      <rPr>
        <sz val="11"/>
        <color theme="1"/>
        <rFont val="Calibri"/>
        <family val="2"/>
        <scheme val="minor"/>
      </rPr>
      <t>)</t>
    </r>
  </si>
  <si>
    <t>PFC-41-12</t>
  </si>
  <si>
    <r>
      <t>Perfluoropentane (C</t>
    </r>
    <r>
      <rPr>
        <vertAlign val="subscript"/>
        <sz val="10"/>
        <rFont val="Arial"/>
        <family val="2"/>
      </rPr>
      <t>5</t>
    </r>
    <r>
      <rPr>
        <sz val="11"/>
        <color theme="1"/>
        <rFont val="Calibri"/>
        <family val="2"/>
        <scheme val="minor"/>
      </rPr>
      <t>F</t>
    </r>
    <r>
      <rPr>
        <vertAlign val="subscript"/>
        <sz val="10"/>
        <rFont val="Arial"/>
        <family val="2"/>
      </rPr>
      <t>12</t>
    </r>
    <r>
      <rPr>
        <sz val="11"/>
        <color theme="1"/>
        <rFont val="Calibri"/>
        <family val="2"/>
        <scheme val="minor"/>
      </rPr>
      <t>)</t>
    </r>
  </si>
  <si>
    <t>PFC-51-14</t>
  </si>
  <si>
    <r>
      <t>Perfluorohexane (C</t>
    </r>
    <r>
      <rPr>
        <vertAlign val="subscript"/>
        <sz val="10"/>
        <rFont val="Arial"/>
        <family val="2"/>
      </rPr>
      <t>6</t>
    </r>
    <r>
      <rPr>
        <sz val="11"/>
        <color theme="1"/>
        <rFont val="Calibri"/>
        <family val="2"/>
        <scheme val="minor"/>
      </rPr>
      <t>F</t>
    </r>
    <r>
      <rPr>
        <vertAlign val="subscript"/>
        <sz val="10"/>
        <rFont val="Arial"/>
        <family val="2"/>
      </rPr>
      <t>14</t>
    </r>
    <r>
      <rPr>
        <sz val="11"/>
        <color theme="1"/>
        <rFont val="Calibri"/>
        <family val="2"/>
        <scheme val="minor"/>
      </rPr>
      <t>)</t>
    </r>
  </si>
  <si>
    <t>PFC-91-18</t>
  </si>
  <si>
    <r>
      <t>Perfluorodecalin (C</t>
    </r>
    <r>
      <rPr>
        <vertAlign val="subscript"/>
        <sz val="10"/>
        <rFont val="Arial"/>
        <family val="2"/>
      </rPr>
      <t>10</t>
    </r>
    <r>
      <rPr>
        <sz val="11"/>
        <color theme="1"/>
        <rFont val="Calibri"/>
        <family val="2"/>
        <scheme val="minor"/>
      </rPr>
      <t>F</t>
    </r>
    <r>
      <rPr>
        <vertAlign val="subscript"/>
        <sz val="10"/>
        <rFont val="Arial"/>
        <family val="2"/>
      </rPr>
      <t>18</t>
    </r>
    <r>
      <rPr>
        <sz val="11"/>
        <color theme="1"/>
        <rFont val="Calibri"/>
        <family val="2"/>
        <scheme val="minor"/>
      </rPr>
      <t>)</t>
    </r>
  </si>
  <si>
    <t>&gt;1000</t>
  </si>
  <si>
    <t>&gt;7500</t>
  </si>
  <si>
    <t>&gt;5500</t>
  </si>
  <si>
    <r>
      <t>SF</t>
    </r>
    <r>
      <rPr>
        <b/>
        <vertAlign val="subscript"/>
        <sz val="10"/>
        <rFont val="Arial"/>
        <family val="2"/>
      </rPr>
      <t xml:space="preserve">6 </t>
    </r>
    <r>
      <rPr>
        <b/>
        <sz val="10"/>
        <rFont val="Arial"/>
        <family val="2"/>
      </rPr>
      <t>Sulphur Hexafluoride</t>
    </r>
  </si>
  <si>
    <r>
      <t>Sulphur Hexafluoride (SF</t>
    </r>
    <r>
      <rPr>
        <vertAlign val="subscript"/>
        <sz val="10"/>
        <rFont val="Arial"/>
        <family val="2"/>
      </rPr>
      <t>6</t>
    </r>
    <r>
      <rPr>
        <sz val="11"/>
        <color theme="1"/>
        <rFont val="Calibri"/>
        <family val="2"/>
        <scheme val="minor"/>
      </rPr>
      <t>)</t>
    </r>
  </si>
  <si>
    <r>
      <t>NF</t>
    </r>
    <r>
      <rPr>
        <b/>
        <vertAlign val="subscript"/>
        <sz val="10"/>
        <rFont val="Arial"/>
        <family val="2"/>
      </rPr>
      <t>3</t>
    </r>
    <r>
      <rPr>
        <b/>
        <sz val="11"/>
        <color theme="1"/>
        <rFont val="Calibri"/>
        <family val="2"/>
        <scheme val="minor"/>
      </rPr>
      <t xml:space="preserve"> Nitrogen Trifluoride</t>
    </r>
  </si>
  <si>
    <r>
      <t>Nitrogen Trifluoride (NF</t>
    </r>
    <r>
      <rPr>
        <vertAlign val="subscript"/>
        <sz val="10"/>
        <rFont val="Arial"/>
        <family val="2"/>
      </rPr>
      <t>3</t>
    </r>
    <r>
      <rPr>
        <sz val="11"/>
        <color theme="1"/>
        <rFont val="Calibri"/>
        <family val="2"/>
        <scheme val="minor"/>
      </rPr>
      <t>)</t>
    </r>
  </si>
  <si>
    <r>
      <t>SO</t>
    </r>
    <r>
      <rPr>
        <b/>
        <vertAlign val="subscript"/>
        <sz val="10"/>
        <rFont val="Arial"/>
        <family val="2"/>
      </rPr>
      <t>2</t>
    </r>
    <r>
      <rPr>
        <b/>
        <sz val="11"/>
        <color theme="1"/>
        <rFont val="Calibri"/>
        <family val="2"/>
        <scheme val="minor"/>
      </rPr>
      <t>F</t>
    </r>
    <r>
      <rPr>
        <b/>
        <vertAlign val="subscript"/>
        <sz val="10"/>
        <rFont val="Arial"/>
        <family val="2"/>
      </rPr>
      <t>2</t>
    </r>
    <r>
      <rPr>
        <b/>
        <sz val="11"/>
        <color theme="1"/>
        <rFont val="Calibri"/>
        <family val="2"/>
        <scheme val="minor"/>
      </rPr>
      <t xml:space="preserve"> Sulfuryl fluoride</t>
    </r>
  </si>
  <si>
    <r>
      <t>Sulfuryl fluoride (SO</t>
    </r>
    <r>
      <rPr>
        <vertAlign val="subscript"/>
        <sz val="10"/>
        <rFont val="Arial"/>
        <family val="2"/>
      </rPr>
      <t>2</t>
    </r>
    <r>
      <rPr>
        <sz val="11"/>
        <color theme="1"/>
        <rFont val="Calibri"/>
        <family val="2"/>
        <scheme val="minor"/>
      </rPr>
      <t>F</t>
    </r>
    <r>
      <rPr>
        <vertAlign val="subscript"/>
        <sz val="10"/>
        <rFont val="Arial"/>
        <family val="2"/>
      </rPr>
      <t>2</t>
    </r>
    <r>
      <rPr>
        <sz val="11"/>
        <color theme="1"/>
        <rFont val="Calibri"/>
        <family val="2"/>
        <scheme val="minor"/>
      </rPr>
      <t>)</t>
    </r>
  </si>
  <si>
    <t xml:space="preserve">Trifluoromethyl sulfur pentafluoride </t>
  </si>
  <si>
    <r>
      <t>Trifluoromethyl sulfur pentafluoride 
(SF</t>
    </r>
    <r>
      <rPr>
        <vertAlign val="subscript"/>
        <sz val="10"/>
        <rFont val="Arial"/>
        <family val="2"/>
      </rPr>
      <t>5</t>
    </r>
    <r>
      <rPr>
        <sz val="11"/>
        <color theme="1"/>
        <rFont val="Calibri"/>
        <family val="2"/>
        <scheme val="minor"/>
      </rPr>
      <t>CF</t>
    </r>
    <r>
      <rPr>
        <vertAlign val="subscript"/>
        <sz val="10"/>
        <rFont val="Arial"/>
        <family val="2"/>
      </rPr>
      <t>3</t>
    </r>
    <r>
      <rPr>
        <sz val="11"/>
        <color theme="1"/>
        <rFont val="Calibri"/>
        <family val="2"/>
        <scheme val="minor"/>
      </rPr>
      <t>)</t>
    </r>
  </si>
  <si>
    <r>
      <t>Trifluoromethyl iodide (CF3</t>
    </r>
    <r>
      <rPr>
        <b/>
        <sz val="11"/>
        <rFont val="Times New Roman"/>
        <family val="1"/>
      </rPr>
      <t>I</t>
    </r>
    <r>
      <rPr>
        <b/>
        <sz val="11"/>
        <color theme="1"/>
        <rFont val="Calibri"/>
        <family val="2"/>
        <scheme val="minor"/>
      </rPr>
      <t>)</t>
    </r>
  </si>
  <si>
    <r>
      <t>Trifluoromethyl iodide (CF3</t>
    </r>
    <r>
      <rPr>
        <sz val="11"/>
        <rFont val="Times New Roman"/>
        <family val="1"/>
      </rPr>
      <t>I</t>
    </r>
    <r>
      <rPr>
        <sz val="11"/>
        <color theme="1"/>
        <rFont val="Calibri"/>
        <family val="2"/>
        <scheme val="minor"/>
      </rPr>
      <t>), trifluoroiodomethane</t>
    </r>
  </si>
  <si>
    <t>Dimethyl ether (DME)</t>
  </si>
  <si>
    <r>
      <t>Dimethyl ether (DME) (CH</t>
    </r>
    <r>
      <rPr>
        <vertAlign val="subscript"/>
        <sz val="10"/>
        <rFont val="Arial"/>
        <family val="2"/>
      </rPr>
      <t>3</t>
    </r>
    <r>
      <rPr>
        <sz val="10"/>
        <rFont val="Arial"/>
        <family val="2"/>
      </rPr>
      <t>OCH</t>
    </r>
    <r>
      <rPr>
        <vertAlign val="subscript"/>
        <sz val="10"/>
        <rFont val="Arial"/>
        <family val="2"/>
      </rPr>
      <t>3</t>
    </r>
    <r>
      <rPr>
        <sz val="10"/>
        <rFont val="Arial"/>
        <family val="2"/>
      </rPr>
      <t xml:space="preserve"> (C</t>
    </r>
    <r>
      <rPr>
        <vertAlign val="subscript"/>
        <sz val="10"/>
        <rFont val="Arial"/>
        <family val="2"/>
      </rPr>
      <t>2</t>
    </r>
    <r>
      <rPr>
        <sz val="10"/>
        <rFont val="Arial"/>
        <family val="2"/>
      </rPr>
      <t>H</t>
    </r>
    <r>
      <rPr>
        <vertAlign val="subscript"/>
        <sz val="10"/>
        <rFont val="Arial"/>
        <family val="2"/>
      </rPr>
      <t>6</t>
    </r>
    <r>
      <rPr>
        <sz val="10"/>
        <rFont val="Arial"/>
        <family val="2"/>
      </rPr>
      <t>O))</t>
    </r>
  </si>
  <si>
    <t>FOR12A</t>
  </si>
  <si>
    <r>
      <t>HFC-134a 1,1,1,2-Tetrafluoroethane 80%; 
HFC-152a 1,1-Difluoroethane 4%; 
CF</t>
    </r>
    <r>
      <rPr>
        <vertAlign val="subscript"/>
        <sz val="10"/>
        <rFont val="Arial"/>
        <family val="2"/>
      </rPr>
      <t>3</t>
    </r>
    <r>
      <rPr>
        <sz val="10"/>
        <rFont val="Arial"/>
        <family val="2"/>
      </rPr>
      <t>I (Trifluoroiodomethane) 11%</t>
    </r>
  </si>
  <si>
    <t>FOR12B</t>
  </si>
  <si>
    <r>
      <t>HFC-134a 1,1,1,2-Tetrafluoroethane 77%; 
Dimethyl ether (DME) (C</t>
    </r>
    <r>
      <rPr>
        <vertAlign val="subscript"/>
        <sz val="10"/>
        <color indexed="8"/>
        <rFont val="Arial"/>
        <family val="2"/>
      </rPr>
      <t>2</t>
    </r>
    <r>
      <rPr>
        <sz val="10"/>
        <color indexed="8"/>
        <rFont val="Arial"/>
        <family val="2"/>
      </rPr>
      <t>H</t>
    </r>
    <r>
      <rPr>
        <vertAlign val="subscript"/>
        <sz val="10"/>
        <color indexed="8"/>
        <rFont val="Arial"/>
        <family val="2"/>
      </rPr>
      <t>6</t>
    </r>
    <r>
      <rPr>
        <sz val="10"/>
        <color indexed="8"/>
        <rFont val="Arial"/>
        <family val="2"/>
      </rPr>
      <t>O) 2%; 
CF</t>
    </r>
    <r>
      <rPr>
        <vertAlign val="subscript"/>
        <sz val="10"/>
        <color indexed="8"/>
        <rFont val="Arial"/>
        <family val="2"/>
      </rPr>
      <t>3</t>
    </r>
    <r>
      <rPr>
        <sz val="10"/>
        <color indexed="8"/>
        <rFont val="Arial"/>
        <family val="2"/>
      </rPr>
      <t>I (Trifluoroiodomethane) 21%</t>
    </r>
  </si>
  <si>
    <t>Freeze 12</t>
  </si>
  <si>
    <t>HCFC-142b Monochlorodifluoroethane 20%; 
HFC-134a 1,1,1,2-Tetrafluoroethane 80%</t>
  </si>
  <si>
    <t>Free Zone</t>
  </si>
  <si>
    <t>HCFC-142b Monochlorodifluoroethane 19%; 
HFC-134a 1,1,1,2-Tetrafluoroethane 79%</t>
  </si>
  <si>
    <t>FRIGC FR-12</t>
  </si>
  <si>
    <t>HCFC-124 2-Chloro-1,1,1,2-Tetrafluoroethane  39%; 
HFC-134a 1,1,1,2-Tetrafluoroethane 59%; 
n-Butane 2%</t>
  </si>
  <si>
    <t>G2018C</t>
  </si>
  <si>
    <t>HCFC-22 Chlorodifluoromethane 95.5%;  
HFC-152a 1,1-Difluoroethane 1.5%; 
Propylene R-1270 3%</t>
  </si>
  <si>
    <t>GHG-HP</t>
  </si>
  <si>
    <t>HCFC-22 Chlorodifluoromethane 65%; 
HCFC-142B Monochlorodifluoroethane 31%
Isobutane R-600a 4%</t>
  </si>
  <si>
    <t>GHG-X5</t>
  </si>
  <si>
    <t>HCFC-22 Chlorodifluoromethane 41%; 
HCFC-142B Monochlorodifluoroethane 15%;
HFC-227ea 1,1,1,2,3,3,3-Heptafluoropropane 40%
Isobutane R-600a 4%</t>
  </si>
  <si>
    <t>Hot Shot 2</t>
  </si>
  <si>
    <t>HFC-134a 1,1,1,2-Tetrafluoroethane 78.8%;
HFC-125 Pentafluoroethane 19.5%; 
R-600a (Isobutane) 1.7%</t>
  </si>
  <si>
    <t>Ikon A</t>
  </si>
  <si>
    <t>HFC-152a (unknown %);
CF3I (trifluoroiodomethane) (unknown %)</t>
  </si>
  <si>
    <t>Ikon B</t>
  </si>
  <si>
    <t>HFC-134a (unknown %); 
HFC-152a (unknown %);
CF3I (trifluoroiodomethane) (unknown %)</t>
  </si>
  <si>
    <t>Isceon MO89</t>
  </si>
  <si>
    <t>HFC-125 Pentafluoroethane 86%;
PFC-218 Octafluoropropane 9%;
Propane (R-290) 5%</t>
  </si>
  <si>
    <t>NARM-502</t>
  </si>
  <si>
    <t>HCFC-22 Chlorodifluoromethane 90%; 
HFC-23 Trifluoromethane 5%; 
HFC-152a 1,1-Difluoroethane 5%</t>
  </si>
  <si>
    <t>R-401A</t>
  </si>
  <si>
    <t>HCFC-22 Chlorodifluoromethane 53%;  
HCFC-124  2-Chloro-1,1,1,2-Tetrafluoroethane 34%;
HFC-152a 1,1-Difluoroethane 13%</t>
  </si>
  <si>
    <t>R-401B</t>
  </si>
  <si>
    <t>HCFC-22 Chlorodifluoromethane 61%;  
HCFC-124  2-Chloro-1,1,1,2-Tetrafluoroethane 28%;
HFC-152a 1,1-Difluoroethane 11%</t>
  </si>
  <si>
    <t>R-401C</t>
  </si>
  <si>
    <t>HCFC-22 Chlorodifluoromethane 33%;  
HCFC-124  2-Chloro-1,1,1,2-Tetrafluoroethane 52%;
HFC-152a 1,1-Difluoroethane 15%</t>
  </si>
  <si>
    <t>R-402A</t>
  </si>
  <si>
    <t>HCFC-22 Chlorodifluoromethane 38%; 
HFC-125 Pentafluoroethane 60%; 
Propane (R-290) 2%</t>
  </si>
  <si>
    <t>R-402B</t>
  </si>
  <si>
    <t>HCFC-22 Chlorodifluoromethane 60%; 
HFC-125 Pentafluoroethane 38%; 
Propane (R-290) 2%</t>
  </si>
  <si>
    <t>R-403B</t>
  </si>
  <si>
    <t>HCFC-22 Chlorodifluoromethane 56%; 
PFC-218 Octafluoropropane 39%;
Propane (R-290) 5%</t>
  </si>
  <si>
    <t>R-404A</t>
  </si>
  <si>
    <t>HFC-125 Pentafluoroethane 44%; 
HFC-134a 1,1,1,2-Tetrafluoroethane 4% 
HFC-143a 1,1,1-Trifluoroethane 52%</t>
  </si>
  <si>
    <t>52 years (143a); 
29 years (125); 
14.6 years (134a)</t>
  </si>
  <si>
    <t>R-406A</t>
  </si>
  <si>
    <t>HCFC-22 Chlorodifluoromethane 55%; 
HCFC-142B Monochlorodifluoroethane 41%
Isobutane R-600a 4%</t>
  </si>
  <si>
    <t>R-407A</t>
  </si>
  <si>
    <t>HFC-32 Difluoromethane 20%; 
HFC-125 Pentafluoroethane 40%; 
HFC-134a 1,1,1,2-Tetrafluoroethane 40%</t>
  </si>
  <si>
    <t>29 years (R-125); 
4.9 years (R-32)</t>
  </si>
  <si>
    <t>R-407B</t>
  </si>
  <si>
    <t>HFC-32 Difluoromethane 10%; 
HFC-125 Pentafluoroethane 70%; 
HFC-134a 1,1,1,2-Tetrafluoroethane 20%</t>
  </si>
  <si>
    <t>R-407C</t>
  </si>
  <si>
    <t>HFC-32 Difluoromethane 23%: 
HFC-125 Pentafluoroethane 25%; 
HFC-134a 1,1,1,2-Tetrafluoroethane 52%</t>
  </si>
  <si>
    <t>R-407D</t>
  </si>
  <si>
    <t>HFC-32 Difluoromethane 15%: 
HFC-125 Pentafluoroethane 15%; 
HFC-134a 1,1,1,2-Tetrafluoroethane 70%</t>
  </si>
  <si>
    <t>R-407F</t>
  </si>
  <si>
    <t>HFC-32 Difluoromethane 30%: 
HFC-125 Pentafluoroethane 30%; 
HFC-134a 1,1,1,2-Tetrafluoroethane 40%</t>
  </si>
  <si>
    <t>R-407H</t>
  </si>
  <si>
    <t>HFC-32 Difluoromethane 32.5%: 
HFC-125 Pentafluoroethane 15.0%; 
HFC-134a 1,1,1,2-Tetrafluoroethane 52.5%</t>
  </si>
  <si>
    <t>R-408A</t>
  </si>
  <si>
    <t>HCFC-22 Chlorodifluoromethane 47%; 
HFC-125 Pentafluoroethane 7%; 
HFC-143A 1-1-1 Trifluoroethane 46%</t>
  </si>
  <si>
    <t>R-409A</t>
  </si>
  <si>
    <r>
      <t xml:space="preserve">HCFC-22 Chlorodifluoromethane 60%;  
HCFC-124  2-Chloro-1,1,1,2-Tetrafluoroethane 25%; 
HCFC-142b </t>
    </r>
    <r>
      <rPr>
        <sz val="9"/>
        <color indexed="8"/>
        <rFont val="Arial"/>
        <family val="2"/>
      </rPr>
      <t>1-Chloro-1,1-Difluoroethane 15%</t>
    </r>
  </si>
  <si>
    <t>R-410A</t>
  </si>
  <si>
    <t>HFC-32 Difluoromethane 50%;
HFC-125 Pentafluoroethane 50%</t>
  </si>
  <si>
    <t>R-410B</t>
  </si>
  <si>
    <t>HFC-32 Difluoromethane 45%;
HFC-125 Pentafluoroethane 55%</t>
  </si>
  <si>
    <t>R-411A</t>
  </si>
  <si>
    <t>HCFC-22 Chlorodifluoromethane 87.5%;  
HFC-152a 1,1-Difluoroethane 11%; 
Propylene R-1270 1.5%</t>
  </si>
  <si>
    <t>R-411B</t>
  </si>
  <si>
    <t>HCFC-22 Chlorodifluoromethane 94%;  
HFC-152a 1,1-Difluoroethane 3%; 
Propylene R-1270 3%</t>
  </si>
  <si>
    <t>R-413A</t>
  </si>
  <si>
    <t>HFC-134a 1,1,1,2-Tetrafluoroethane 88%;
PFC-218 Octafluoropropane 9%;
Isobutane 3%</t>
  </si>
  <si>
    <t>R-414A</t>
  </si>
  <si>
    <t>HCFC-22 Chlorodifluoromethane 51%; 
HCFC-124 Monochlorotetrafluoroethane 39%; 
HCFC-142b Monochlorodifluoroethane 6%; 
R-600a Isobutane (hydrocarbon) 4%</t>
  </si>
  <si>
    <t>R-414B</t>
  </si>
  <si>
    <t>HCFC-22 Chlorodifluoromethane 50%; 
HCFC-124 Monochlorotetrafluoroethane 39%; 
HCFC-142b Monochlorodifluoroethane 9.5%; 
R-600a Isobutane (hydrocarbon) 1.5%</t>
  </si>
  <si>
    <t>R-416A</t>
  </si>
  <si>
    <t>HFC-134a 1,1,1,2-Tetrafluoroethane 59%; 
HCFC-124 1-Chloro-1,2,2,2-tetrafluoroethane 39.5%;
R-600a Isobutane (hydrocarbon) 1.5%</t>
  </si>
  <si>
    <t>R-417A</t>
  </si>
  <si>
    <t>HFC-134a 1,1,1,2-Tetrafluoroethane 50%;
HFC-125 Pentafluoroethane 46.6%; 
Butane 3.4%</t>
  </si>
  <si>
    <t>R-417B</t>
  </si>
  <si>
    <t>HFC-125 Pentafluoroethane 79%; 
HFC-134a 1,1,1,2-Tetrafluoroethane 18.25%;
R-600 Butane 2.75%</t>
  </si>
  <si>
    <t>R-417C</t>
  </si>
  <si>
    <t>R-420A</t>
  </si>
  <si>
    <t>HCFC-142b Monochlorodifluoroethane 12%; 
HFC-134a 1,1,1,2-Tetrafluoroethane 88%</t>
  </si>
  <si>
    <t>R-421A</t>
  </si>
  <si>
    <t>HFC-125 Pentafluoroethane 58%
HFC-134a 1,1,1,2-Tetrafluoroethane 42%</t>
  </si>
  <si>
    <t>R-421B</t>
  </si>
  <si>
    <t>HFC-125 Pentafluoroethane 85%
HFC-134a 1,1,1,2-Tetrafluoroethane 15%</t>
  </si>
  <si>
    <t>R-422A</t>
  </si>
  <si>
    <t>HFC-134a 1,1,1,2-Tetrafluoroethane 11.5%;
HFC-125 Pentafluoroethane 85.1%; 
Isobutane 3.4%</t>
  </si>
  <si>
    <t>R-422B</t>
  </si>
  <si>
    <t>HFC-134a 1,1,1,2-Tetrafluoroethane 42%;
HFC-125 Pentafluoroethane 55%; 
Isobutane 3%</t>
  </si>
  <si>
    <t>R-422C</t>
  </si>
  <si>
    <t>HFC-125 Pentafluoroethane 82%; 
HFC-134a 1,1,1,2-Tetrafluoroethane 15%;
Isobutane R-600a 3%</t>
  </si>
  <si>
    <t>R-422D</t>
  </si>
  <si>
    <t>HFC-125 Pentafluoroethane 65.1%; 
HFC-134a 1,1,1,2-Tetrafluoroethane 31.5%;
Isobutane 3.4%</t>
  </si>
  <si>
    <t>R-423A</t>
  </si>
  <si>
    <t>HFC-134a 1,1,1,2-Tetrafluoroethane 52.5%;
HFC-227ea 1,1,1,2,3,3,3-Heptafluoropropane 47.5%</t>
  </si>
  <si>
    <t>R-424A</t>
  </si>
  <si>
    <t>HFC-125 Pentafluoroethane 50.5%; 
HFC-134a 1,1,1,2-Tetrafluoroethane 47.0%;
Butane (R-600) 1.0%
Isobutane (R-600a) 0.9%
Isopentane (R-601a) 0.6%</t>
  </si>
  <si>
    <t>R-426A</t>
  </si>
  <si>
    <t>HFC-125 Pentafluoroethane 5.1%; 
HFC-134a 1,1,1,2-Tetrafluoroethane 93.0%;
Butane (R-600) 1.3%
Isobutane (R-600a) 0.6%</t>
  </si>
  <si>
    <t>R-427A</t>
  </si>
  <si>
    <t>HFC-32 Difluoromethane 15%; 
HFC-125 Pentafluoroethane 25%;
HFC-134a 1,1,1,2-Tetrafluoroethane 50%;
HFC-143a 1,1,1-Trifluoroethane 10%</t>
  </si>
  <si>
    <t>R-428A</t>
  </si>
  <si>
    <t>HFC-125 Pentafluoroethane 77.5%;
HFC-143a 1,1,1-Trifluoroethane 20.0%; 
Propane (R-290) 0.6%; 
Isobutane (R-600a) 1.9%</t>
  </si>
  <si>
    <t>R-434A</t>
  </si>
  <si>
    <t>HFC-125 Pentafluoroethane 63.2%;
HFC-143a 1,1,1-Trifluoroethane 18%; 
HFC-134a 1,1,1,2-Tetrafluoroethane 16%;
Isobutane (R-600a) 2.8%</t>
  </si>
  <si>
    <t>R-436A</t>
  </si>
  <si>
    <t>Hydrocarbon blend of 54% propane (R-290), 
46% isobutane (R-600a)</t>
  </si>
  <si>
    <t>R-437A</t>
  </si>
  <si>
    <t>HFC-125 Pentafluoroethane 19.5%;
HFC-134a 1,1,1,2-Tetrafluoroethane 78.5%;
Butane (R-600) 1.4%;
Pentane (R-601) 0.6%</t>
  </si>
  <si>
    <t>R-438A</t>
  </si>
  <si>
    <t>HFC-125 Pentafluoroethane 45%;
HFC-134a 1,1,1,2-Tetrafluoroethane 44.2%;
HFC-32 Difluoromethane 8.5%; 
IsoButane (R-600a) 1.7%;
Isopentane (R-601) 0.6%</t>
  </si>
  <si>
    <t>R-441A</t>
  </si>
  <si>
    <t>Hydrocarbon blend of 3.1% ethane (R-170); 
54.8% propane (R-290), 
36.1% n-Butane (R-600), and 
6.0% isobutane (R-660a)</t>
  </si>
  <si>
    <t>R-442A</t>
  </si>
  <si>
    <t>HFC-32 Difluoromethane 31%; 
HFC-125 Pentafluoroethane 31%;
HFC-134a 1,1,1,2-Tetrafluoroethane 30%;
HFC-152a 1,1-Difluoroethane 3%;
HFC-227ea 1,1,1,2,3,3,3-Heptafluoropropane 5%</t>
  </si>
  <si>
    <t>R-443A</t>
  </si>
  <si>
    <t>Propane, isobutane, butane &gt; 75%, hydrocarbon blend (Unacceptable for AC, SNAP list)</t>
  </si>
  <si>
    <t>R-444A</t>
  </si>
  <si>
    <t>HFC-32 Difluoromethane 12%; 
HFC-152a 1,1-Difluoroethane 5%;
R-1234ze HFO-1234ze(E) 83%</t>
  </si>
  <si>
    <t>no MSDS yet</t>
  </si>
  <si>
    <t>R-444B</t>
  </si>
  <si>
    <t xml:space="preserve">HFC-32 Difluoromethane 41.5%; 
R-152a 1,1-Difluoroethane 10%;
R-1234ze HFO-1234ze 48.5% </t>
  </si>
  <si>
    <t>R-445A</t>
  </si>
  <si>
    <r>
      <t>HFC-134a 1,1,1,2-Tetrafluoroethane 9%;
R-744 CO</t>
    </r>
    <r>
      <rPr>
        <vertAlign val="subscript"/>
        <sz val="10"/>
        <color indexed="8"/>
        <rFont val="Arial"/>
        <family val="2"/>
      </rPr>
      <t>2</t>
    </r>
    <r>
      <rPr>
        <sz val="10"/>
        <color indexed="8"/>
        <rFont val="Arial"/>
        <family val="2"/>
      </rPr>
      <t xml:space="preserve"> 6%;
R-1234ze HFO-1234ze 85%</t>
    </r>
  </si>
  <si>
    <t>R-446A</t>
  </si>
  <si>
    <t>HFC-32 Difluoromethane 68%; 
R-1234ze HFO-1234ze 29%; 
R-600a isobutane 3%</t>
  </si>
  <si>
    <t>R-447A</t>
  </si>
  <si>
    <t>HFC-32 Difluoromethane 68%; 
HFC-125 Pentafluoroethane 3.5%;
R-1234ze HFO-1234ze(E) 28.5%</t>
  </si>
  <si>
    <t>R-447B</t>
  </si>
  <si>
    <t>HFC-32 Difluoromethane 68%; 
R-1234ze HFO-1234ze(E) 24%; 
HFC-125 Pentafluoroethane 8%</t>
  </si>
  <si>
    <t>R-448A</t>
  </si>
  <si>
    <t>HFC-32 Difluoromethane 26%; 
HFC-125 Pentafluoroethane 26%;
HFC-134a 1,1,1,2-Tetrafluoroethane 21%;
R-1234yf HFO-1234yf 2,3,3,3-Tetrafluoropropene 20%; 
R-1234ze HFO-1234ze 7%</t>
  </si>
  <si>
    <t>R-449A</t>
  </si>
  <si>
    <t>HFC-32 Difluoromethane 24.3%; 
HFC-125 Pentafluoroethane 24.7%;
HFC-134a 1,1,1,2-Tetrafluoroethane 25.7%;
R-1234yf HFO-1234yf 2,3,3,3-Tetrafluoropropene 25.3%</t>
  </si>
  <si>
    <t>R-449B</t>
  </si>
  <si>
    <t>HFC-32 Difluoromethane 25.2%; 
HFC-125 Pentafluoroethane 24.3%;
HFC-134a 1,1,1,2-Tetrafluoroethane 27.3%;
R-1234yf HFO-1234yf 2,3,3,3-Tetrafluoropropene 23.2%</t>
  </si>
  <si>
    <t>R-450A</t>
  </si>
  <si>
    <t>HFC-134a 1,1,1,2-Tetrafluoroethane 42%;
R-1234ze HFO-1234ze 58%</t>
  </si>
  <si>
    <t>R-451A</t>
  </si>
  <si>
    <t>HFC-134a 1,1,1,2-Tetrafluoroethane 10.2%;
R-1234ze HFO-1234ze 89.8%</t>
  </si>
  <si>
    <t>R-451B</t>
  </si>
  <si>
    <t>HFC-134a 1,1,1,2-Tetrafluoroethane 11.2%;
R-1234ze HFO-1234ze 88.8%</t>
  </si>
  <si>
    <t>R-452A</t>
  </si>
  <si>
    <t>HFC-32 Difluoromethane 11%
HFC-125 Pentafluoroethane 59%;
HFO-1234yf 2,3,3,3-Tetrafluoropropene 30%</t>
  </si>
  <si>
    <t>R-452B</t>
  </si>
  <si>
    <t>HFC-32 Difluoromethane 67%
HFC-125 Pentafluoroethane 7%;
HFO-1234yf 2,3,3,3-Tetrafluoropropene 26%</t>
  </si>
  <si>
    <t>R-452C</t>
  </si>
  <si>
    <t>HFC-32 Difluoromethane 12.5%
HFC-125 Pentafluoroethane 61.0%;
HFO-1234yf 2,3,3,3-Tetrafluoropropene 26.5%</t>
  </si>
  <si>
    <t>R-453A</t>
  </si>
  <si>
    <t>HFC-32 Difluoromethane 20%; 
HFC-125 Pentafluoroethane 20%; 
HFC-134a 1,1,1,2-Tetrafluoroethane (norflurane on MSDS) 53.8%; 
HFC-227ea 1,1,1,2,3,3,3-Heptafluoropropane 5%; 
R-600 Butane 0.6%;
R-600a Isobutane 0.6%</t>
  </si>
  <si>
    <t>R-454A</t>
  </si>
  <si>
    <t>HFC-32 Difluoromethane 35%; 
HFO-1234yf 2,3,3,3-Tetrafluoropropene 65%</t>
  </si>
  <si>
    <t>R-454B</t>
  </si>
  <si>
    <t>HFC-32 Difluoromethane 68.9%; 
HFO-1234yf 2,3,3,3-Tetrafluoropropene 31.1%</t>
  </si>
  <si>
    <t>R-454C</t>
  </si>
  <si>
    <t xml:space="preserve">HFO-1234yf 2,3,3,3-Tetrafluoropropene 78.5%; 
HFC-32 Difluoromethane 21.5%
</t>
  </si>
  <si>
    <t>R-455A</t>
  </si>
  <si>
    <r>
      <t>HFC-32 Difluoromethane 21.5%; 
HFO-1234yf 2,3,3,3-Tetrafluoropropene 75.5%;
R-744 CO</t>
    </r>
    <r>
      <rPr>
        <vertAlign val="subscript"/>
        <sz val="10"/>
        <color indexed="8"/>
        <rFont val="Arial"/>
        <family val="2"/>
      </rPr>
      <t xml:space="preserve">2 </t>
    </r>
    <r>
      <rPr>
        <sz val="10"/>
        <color indexed="8"/>
        <rFont val="Arial"/>
        <family val="2"/>
      </rPr>
      <t xml:space="preserve"> 3.0%</t>
    </r>
  </si>
  <si>
    <t>R-456A</t>
  </si>
  <si>
    <t xml:space="preserve">HFO-1234ze(E) 49%; 
HFC-134a 1,1,1,2-Tetrafluoroethane 45%; 
HFC-32 Difluoromethane 6% </t>
  </si>
  <si>
    <t>R-457A</t>
  </si>
  <si>
    <t>HFO-1234yf 2,3,3,3-Tetrafluoropropene 70.0%; 
HFC-32 Difluoromethane 18.0%; 
HFC-152a 1,1-Difluoroethane 12.0%</t>
  </si>
  <si>
    <t>R-458A</t>
  </si>
  <si>
    <t>See also Tdx 20 by Bluon. 
HFC-134a - 61.4%;
HFC-32 - 20.5%;
HFC-227ea - 13.5%; 
HFC-125 - 4.0%; 
HFC-236fa - 0.6%</t>
  </si>
  <si>
    <t>R-461A</t>
  </si>
  <si>
    <t>HFC-125 Pentafluoroethane 55%; 
HFC-134a 1,1,1,2-Tetrafluoroethane 32%; 
HFC-143a 1,1,1-Trifluoroethane 5%;
HFC-227ea 1,1,1,2,3,3,3-Heptafluoropropane 5%;
R-600a isobutane 3%</t>
  </si>
  <si>
    <t>R-462A</t>
  </si>
  <si>
    <t>HFC-134a 1,1,1,2-Tetrafluoroethane 44%; 
HFC-125 Pentafluoroethane 42%; 
HFC-32 Difluoromethane 9%; 
R-600a isobutane 3%; 
HFC-143a 1,1,1-Trifluoroethane 2%</t>
  </si>
  <si>
    <t>R-466A</t>
  </si>
  <si>
    <t>HFC-32 Difluoromethane 49%; 
HFC-125 Pentafluoroethane 11.5%; 
CF3I (trifluoroiodide) 39.5%</t>
  </si>
  <si>
    <t>R-500</t>
  </si>
  <si>
    <t>CFC-12 Dichlorodifluoromethane (73.8%); 
HFC-152a 1,1, Difluoroethane (26.2%)</t>
  </si>
  <si>
    <t>R-502</t>
  </si>
  <si>
    <t>HCFC-22  Monochlorodifluoromethane 48.8%; 
CFC-115 Monochloropentafluoroethane 51.2%</t>
  </si>
  <si>
    <t>12 years (R-22); 
7100 years (R-115)</t>
  </si>
  <si>
    <t>R-503</t>
  </si>
  <si>
    <t>CFC-13 Chlorotrifluoromethane 60% 
HFC-23 Trifluoromethane 40%</t>
  </si>
  <si>
    <t>R-507</t>
  </si>
  <si>
    <t>HFC-125 Pentafluoroethane 50%; 
HFC-143a 1,1,1-Trifluoroethane 50%</t>
  </si>
  <si>
    <t>29 years (R-125); 
52 years (R-143a)</t>
  </si>
  <si>
    <t>R-508A</t>
  </si>
  <si>
    <t>HFC-23 Trifluoromethane 39%
PFC-116 Hexafluoroethane 61%</t>
  </si>
  <si>
    <t>R-508B</t>
  </si>
  <si>
    <t>HFC-23 Trifluoromethane 46%
PFC-116 Hexafluoroethane 54%</t>
  </si>
  <si>
    <t>R-513A</t>
  </si>
  <si>
    <t>HFO-1234yf 2,3,3,3-Tetrafluoropropene 56%; 
HFC-134a 1,1,1,2-Tetrafluoroethane 44%</t>
  </si>
  <si>
    <t>R-514A</t>
  </si>
  <si>
    <t>HFO 1336mzz(Z) - 74.7%; 
Trans-1,2-dichloroethylene (t-DCE) - 25.3%</t>
  </si>
  <si>
    <t>R-515A</t>
  </si>
  <si>
    <t>R-1234ze(E) HFO 88%; 
HFC-227ea heptafluoropropane - 12%</t>
  </si>
  <si>
    <t>R-516A</t>
  </si>
  <si>
    <t>HFO-1234yf 2,3,3,3-Tetrafluoropropene 77.5%;
HFC-152a, 1,1-Difluoroethane 14%; 
HFC-134a 1,1,1,2-Tetrafluoroethane 8.5%</t>
  </si>
  <si>
    <t>SP34E</t>
  </si>
  <si>
    <r>
      <t>HFC-134a 1,1,1,2-Tetrafluoroethane &gt; 96%;
Butane (R-600) C</t>
    </r>
    <r>
      <rPr>
        <vertAlign val="subscript"/>
        <sz val="10"/>
        <color indexed="8"/>
        <rFont val="Arial"/>
        <family val="2"/>
      </rPr>
      <t>5</t>
    </r>
    <r>
      <rPr>
        <sz val="10"/>
        <color indexed="8"/>
        <rFont val="Arial"/>
        <family val="2"/>
      </rPr>
      <t>H</t>
    </r>
    <r>
      <rPr>
        <vertAlign val="subscript"/>
        <sz val="10"/>
        <color indexed="8"/>
        <rFont val="Arial"/>
        <family val="2"/>
      </rPr>
      <t>10</t>
    </r>
    <r>
      <rPr>
        <sz val="10"/>
        <color indexed="8"/>
        <rFont val="Arial"/>
        <family val="2"/>
      </rPr>
      <t xml:space="preserve"> &lt; 3.9%
Additive &lt; 0.1%</t>
    </r>
  </si>
  <si>
    <t>TDX20 see also R-458A</t>
  </si>
  <si>
    <t>TDX20 from Bluon Energy; see also R-458A</t>
  </si>
  <si>
    <t>THR-03</t>
  </si>
  <si>
    <t>THR-03, also THR03</t>
  </si>
  <si>
    <t>DR-3</t>
  </si>
  <si>
    <t>DR-3 is "developmental refrigerant" 3, and is pre-commercial as of May 2016</t>
  </si>
  <si>
    <t>2-BTP</t>
  </si>
  <si>
    <r>
      <t>2-bromotrifluoropropene (C</t>
    </r>
    <r>
      <rPr>
        <vertAlign val="subscript"/>
        <sz val="10"/>
        <rFont val="Arial"/>
        <family val="2"/>
      </rPr>
      <t>3</t>
    </r>
    <r>
      <rPr>
        <sz val="10"/>
        <rFont val="Arial"/>
        <family val="2"/>
      </rPr>
      <t>H</t>
    </r>
    <r>
      <rPr>
        <vertAlign val="subscript"/>
        <sz val="10"/>
        <rFont val="Arial"/>
        <family val="2"/>
      </rPr>
      <t>2</t>
    </r>
    <r>
      <rPr>
        <sz val="10"/>
        <rFont val="Arial"/>
        <family val="2"/>
      </rPr>
      <t>BrF</t>
    </r>
    <r>
      <rPr>
        <vertAlign val="subscript"/>
        <sz val="10"/>
        <rFont val="Arial"/>
        <family val="2"/>
      </rPr>
      <t>3</t>
    </r>
    <r>
      <rPr>
        <sz val="10"/>
        <rFont val="Arial"/>
        <family val="2"/>
      </rPr>
      <t>) (BTP) fire suppressant</t>
    </r>
  </si>
  <si>
    <t>Sources:</t>
  </si>
  <si>
    <t>2)  http://www.epa.gov/climatechange/emissions/downloads/ghg_gwp.pdf   (not a primary source for GWPs)</t>
  </si>
  <si>
    <t>3)  http://www.grida.no/climate/ipcc_tar/wg1/130.htm#tab41a</t>
  </si>
  <si>
    <t>Active GWP</t>
  </si>
  <si>
    <t>Conversions</t>
  </si>
  <si>
    <t>lb</t>
  </si>
  <si>
    <t>=</t>
  </si>
  <si>
    <t>metric ton</t>
  </si>
  <si>
    <t>$/tonne (nominal)</t>
  </si>
  <si>
    <t>Device installation year</t>
  </si>
  <si>
    <t>IOU WACC (Nominal, after-tax)</t>
  </si>
  <si>
    <t>End year</t>
  </si>
  <si>
    <t>Refrigerant GWP</t>
  </si>
  <si>
    <t>Start year</t>
  </si>
  <si>
    <t>Annual leakage (tonnes CO2e)</t>
  </si>
  <si>
    <t>End-of-life leakage (tonnes CO2e)</t>
  </si>
  <si>
    <t>Annual refrigerant leakage %</t>
  </si>
  <si>
    <t>EOL refrigerant leakage %</t>
  </si>
  <si>
    <t>t_EOL</t>
  </si>
  <si>
    <t>CO2 cost (nominal $/tonne CO2)</t>
  </si>
  <si>
    <t>Inputs</t>
  </si>
  <si>
    <t>Intermediate Calculations</t>
  </si>
  <si>
    <t>Result</t>
  </si>
  <si>
    <t>User Dashboard</t>
  </si>
  <si>
    <t>Refrigerant Avoided Cost Calculator</t>
  </si>
  <si>
    <t>Calculations:</t>
  </si>
  <si>
    <t xml:space="preserve">For the California Public Utilities Commission </t>
  </si>
  <si>
    <t>Please note that, for fuel substitution measures, it is critical to take into account the avoided cost of refrigerant leakage from air conditioners, if the building(s) in question would have had an air conditioner in the absence of the measure.</t>
  </si>
  <si>
    <t>Dropdown List</t>
  </si>
  <si>
    <t>If the replacement of an existing or planned air conditioner is not reflected, the net cost of refrigerant leakage from fuel substitution measures could be seriously over-estimated.</t>
  </si>
  <si>
    <t>Controlled by Montreal Protocol; not included in ARB inventory by international convention</t>
  </si>
  <si>
    <t>Use ARB average device lifetime or user-specified?</t>
  </si>
  <si>
    <t>Use ARB average refrigerant charge or user-specified?</t>
  </si>
  <si>
    <t>ARB average</t>
  </si>
  <si>
    <t>User-specified</t>
  </si>
  <si>
    <t>Active device refrigerant charge (lb)</t>
  </si>
  <si>
    <t>SCE</t>
  </si>
  <si>
    <t>SDG&amp;E</t>
  </si>
  <si>
    <t>PG&amp;E</t>
  </si>
  <si>
    <t>WACC selection</t>
  </si>
  <si>
    <t>User-specified WACC (%)</t>
  </si>
  <si>
    <t>Active WACC (%)</t>
  </si>
  <si>
    <t>For example, if a heat pump replaces both a natural gas heater and an air conditioner, the reduction in refrigerant leakage from this replaced air conditioner must be considered in any cost-effectiveness calculations.</t>
  </si>
  <si>
    <t>GWP time horizon (100-yr is default)</t>
  </si>
  <si>
    <t>100-yr</t>
  </si>
  <si>
    <t>Measure type</t>
  </si>
  <si>
    <t>Measure Types</t>
  </si>
  <si>
    <t>Accelerated Replacement</t>
  </si>
  <si>
    <t>New Device</t>
  </si>
  <si>
    <t>Existing Device</t>
  </si>
  <si>
    <t>Device lifetime (yr)</t>
  </si>
  <si>
    <t>Measure</t>
  </si>
  <si>
    <t>Counterfactual</t>
  </si>
  <si>
    <t>No device</t>
  </si>
  <si>
    <t>Measure start year</t>
  </si>
  <si>
    <t>Measure end year</t>
  </si>
  <si>
    <t>New device end-of-life refrigerant leakage (tonnes CO2e)</t>
  </si>
  <si>
    <t>Existing device end-of-life refrigerant leakage (tonnes CO2e)</t>
  </si>
  <si>
    <t>Device retirement year</t>
  </si>
  <si>
    <t>Number of years device was retired early</t>
  </si>
  <si>
    <t>% of device lifetime occuring during measure years</t>
  </si>
  <si>
    <t>% of device lifetime retired early</t>
  </si>
  <si>
    <t>NPV Costs</t>
  </si>
  <si>
    <t>*NPV cost from end-of-life leakage is scaled based on how much of the device lifetime occurred during the measure lifetime and how early the device was retired relative to its effective useful life</t>
  </si>
  <si>
    <t>Measure Lifetime Highlighted in Calculations</t>
  </si>
  <si>
    <t>User Specified</t>
  </si>
  <si>
    <t>None</t>
  </si>
  <si>
    <t>New device annual refrigerant leakage during measure life (tonnes CO2e)</t>
  </si>
  <si>
    <t>Existing device annual refrigerant leakage during measure life (tonnes CO2e)</t>
  </si>
  <si>
    <t>Number of device lifetime years overlapping with measure years</t>
  </si>
  <si>
    <t>Cost from new device annual refrigerant leakage during measure life (nominal $)</t>
  </si>
  <si>
    <t>Cost from existing device annual refrigerant leakage during measure life (nominal $)</t>
  </si>
  <si>
    <t>Cost from new device end-of-life leakage (nominal $)</t>
  </si>
  <si>
    <t>Cost from existing device end-of-life leakage (nominal $)</t>
  </si>
  <si>
    <t>CARB database</t>
  </si>
  <si>
    <t>Normal Replacement or Add-on Equipment</t>
  </si>
  <si>
    <t>Date</t>
  </si>
  <si>
    <t>Tab</t>
  </si>
  <si>
    <t>First Cell</t>
  </si>
  <si>
    <t>D19</t>
  </si>
  <si>
    <t>Dashboard</t>
  </si>
  <si>
    <t>Updated user dashboard to have an input for measure type</t>
  </si>
  <si>
    <t>Added input dashboard columns for both new and existing devices in the measure and counterfactual</t>
  </si>
  <si>
    <t>D34</t>
  </si>
  <si>
    <t>Added cells showing device retirement year and number of years of early retirement</t>
  </si>
  <si>
    <t>D41</t>
  </si>
  <si>
    <t>Updated dropdown to include user-specified refrigerant</t>
  </si>
  <si>
    <t>Added cells for user to input GWP for a user-specified refrigerant</t>
  </si>
  <si>
    <t>C45</t>
  </si>
  <si>
    <t>Added cells showing measure start and end years</t>
  </si>
  <si>
    <t>E61</t>
  </si>
  <si>
    <t>Added intermediate calculations for new and existing devices</t>
  </si>
  <si>
    <t>C64</t>
  </si>
  <si>
    <t>Added intermediate calculations showing the percentage of device lifetime occuring during measure years and the percentage of device lifetime retired early</t>
  </si>
  <si>
    <t>B76</t>
  </si>
  <si>
    <t>Updated calculations to calculate PV cost streams from annual refrigerant leakage and end-of-life leakage from all relevant devices</t>
  </si>
  <si>
    <t>Discounting is applied at the mid year (starting 0.5 years after the beginning of the measure start year)</t>
  </si>
  <si>
    <t>E113</t>
  </si>
  <si>
    <t>Added a table showing the total NPV cost for the measure and counterfactual case, and the breakdown by leakage type</t>
  </si>
  <si>
    <t>ACC Inputs</t>
  </si>
  <si>
    <t>B6</t>
  </si>
  <si>
    <t>Added a list of measure types for dashboard dropdown</t>
  </si>
  <si>
    <t>Refrigerant Leakage</t>
  </si>
  <si>
    <t>A41</t>
  </si>
  <si>
    <t>Added row for "no device" with 0 refrigerant leakage</t>
  </si>
  <si>
    <t>A155</t>
  </si>
  <si>
    <t>Added row for user-specified refrigerant with a note that the user should specify the GWP on the dashboard</t>
  </si>
  <si>
    <t>User-specified device refrigerant charge (lb) (applicable for user-specified charge)</t>
  </si>
  <si>
    <t>User-specified device lifetime (yr) (applicable for user-specified lifetime)</t>
  </si>
  <si>
    <t>User-specified refrigerant GWP (applicable for user-specified refrigerant)</t>
  </si>
  <si>
    <t>Use this calculator to calculate the avoided costs of refrigerant leakage for devices containing a refrigerant, when refrigerant type or amount is changed or a device is replaced early.</t>
  </si>
  <si>
    <t>This calculator can be used to calculate the avoided cost compared to a counterfactual for three measure types including:</t>
  </si>
  <si>
    <t xml:space="preserve">1) Normal Replacement Measure, where a device is replaced by a new device at the end of its useful life </t>
  </si>
  <si>
    <t>2) Add-on Equipment Measure, where a new piece of equipment is installed alongside existing equipment</t>
  </si>
  <si>
    <t>3) Accelerated Replacement Measure, where an existing device is retired early and replaced with a new device</t>
  </si>
  <si>
    <t>Note that the output field is labeled "NPV avoided costs" regardless of whether that value represents a benefit or a cost, so users must be careful to input this data correctly into their cost-effectiveness tools.</t>
  </si>
  <si>
    <t>Updated text description of the calculator to reflect changes</t>
  </si>
  <si>
    <t>since it does not contribute to the relative avoided costs. However, if Accelerated Replacement is chosen as the measure type, both new and existing device inputs must be specified to calculate avoided costs. For Accelerated Replacement</t>
  </si>
  <si>
    <t>measures, it is assumed that the existing device and refrigerant are the same between the measure and the counterfactual case. However, in the counterfactual case, the existing device is retired at the end of its useful life.</t>
  </si>
  <si>
    <t>E7</t>
  </si>
  <si>
    <t>Updated Nominal After-tax WACC to most recent values</t>
  </si>
  <si>
    <t>D4</t>
  </si>
  <si>
    <t>Upated GHG Adder costs to align with updated 2022 ACC Electric Model</t>
  </si>
  <si>
    <t>Not Available</t>
  </si>
  <si>
    <t xml:space="preserve">1)  http://www.ipcc.ch/pdf/assessment-report/ar4/wg1/ar4-wg1-chapter2.pdf (see Table 2.14 for GWP values) </t>
  </si>
  <si>
    <t>Refrigerant GWPs</t>
  </si>
  <si>
    <t>A157</t>
  </si>
  <si>
    <t>Added a clarifying note on where to find the listed GWP values in the primary source</t>
  </si>
  <si>
    <t>User must specify refrigerant GWP on the Dashboard sheet. Note that the California Air Resources Board maintains a list of common refrigerants available at: https://ww2.arb.ca.gov/resources/documents/high-gwp-refrigerants</t>
  </si>
  <si>
    <t>Filled in empty cells with text denoting "Not Available" where refrigerant GWPs were not available from the sources listed</t>
  </si>
  <si>
    <t>For Normal Replacement and Add-on Equipment Measures, it is assumed that the existing equipment is the same between the measure and counterfactual case, and thus does not need to be specified by the user measure</t>
  </si>
  <si>
    <t>Device Type (see Refrigerant Leakage tab for list of devices)</t>
  </si>
  <si>
    <t>Device refrigerant used (see Refrigerang GWPs tab for list of refrigerants)</t>
  </si>
  <si>
    <t>2022 v1b</t>
  </si>
  <si>
    <t>2022 v1a</t>
  </si>
  <si>
    <t>Model Version</t>
  </si>
  <si>
    <t>E95</t>
  </si>
  <si>
    <t xml:space="preserve">Corrected the dollar year mistake that was in v1a by replacing the year 2022 with 2020 in the cost calculations that are supposed to reflect values in 2020$ </t>
  </si>
  <si>
    <t>GHG Value from Natural Gas ACC</t>
  </si>
  <si>
    <t>ACC inputs</t>
  </si>
  <si>
    <t>Updated the GHG value to align with the GHG Value from Natural Gas ACC</t>
  </si>
  <si>
    <t>2022 v1b updated</t>
  </si>
  <si>
    <t>PV cost stream from new device annual refrigerant leakage relative to measure start year</t>
  </si>
  <si>
    <t>PV cost stream from existing device annual refrigerant leakage relative to measure start year</t>
  </si>
  <si>
    <t>PV cost stream from new device end-of-life leakage relative to measure start year</t>
  </si>
  <si>
    <t>PV cost stream from existing device end-of-life leakage relative to measure start year</t>
  </si>
  <si>
    <t>Corrected a mistake where inflation was being improperly accounted for in the PV cost streams. Now all PV fost streams are present values relative to the measure start year, and dollar year conversions happen later starting in cell E124. This error was present in 2022 v1a and v1b.</t>
  </si>
  <si>
    <t>Dollar Year</t>
  </si>
  <si>
    <t>Inflation Rate</t>
  </si>
  <si>
    <t>G7</t>
  </si>
  <si>
    <t>Updated dollar year so that outputs are in 2022$</t>
  </si>
  <si>
    <t>E96, E123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</si>
</sst>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8" formatCode="&quot;$&quot;#,##0.00_);[Red]\(&quot;$&quot;#,##0.00\)"/>
    <numFmt numFmtId="44" formatCode="_(&quot;$&quot;* #,##0.00_);_(&quot;$&quot;* \(#,##0.00\);_(&quot;$&quot;* &quot;-&quot;??_);_(@_)"/>
    <numFmt numFmtId="43" formatCode="_(* #,##0.00_);_(* \(#,##0.00\);_(* &quot;-&quot;??_);_(@_)"/>
    <numFmt numFmtId="164" formatCode="0.000000"/>
    <numFmt numFmtId="165" formatCode="0.0%"/>
    <numFmt numFmtId="166" formatCode="&quot;$&quot;#,##0.00"/>
    <numFmt numFmtId="167" formatCode="_(* #,##0.0_);_(* \(#,##0.0\);_(* &quot;-&quot;??_);_(@_)"/>
    <numFmt numFmtId="168" formatCode="#,##0.000_);\(#,##0.000\)"/>
    <numFmt numFmtId="169" formatCode="#,##0.0_);\(#,##0.0\)"/>
    <numFmt numFmtId="170" formatCode="0.000"/>
    <numFmt numFmtId="171" formatCode="0_);\(0\)"/>
    <numFmt numFmtId="172" formatCode="_(&quot;$&quot;* #,##0_);_(&quot;$&quot;* \(#,##0\);_(&quot;$&quot;* &quot;-&quot;??_);_(@_)"/>
  </numFmts>
  <fonts count="62"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Calibri"/>
      <family val="2"/>
      <scheme val="minor"/>
    </font>
    <font>
      <b/>
      <sz val="11"/>
      <name val="Calibri"/>
      <family val="2"/>
      <scheme val="minor"/>
    </font>
    <font>
      <i/>
      <sz val="10"/>
      <color theme="1"/>
      <name val="Calibri"/>
      <family val="2"/>
      <scheme val="minor"/>
    </font>
    <font>
      <sz val="10"/>
      <color theme="1"/>
      <name val="Calibri"/>
      <family val="2"/>
      <scheme val="minor"/>
    </font>
    <font>
      <b/>
      <sz val="16"/>
      <color theme="1"/>
      <name val="Calibri"/>
      <family val="2"/>
      <scheme val="minor"/>
    </font>
    <font>
      <b/>
      <sz val="10"/>
      <color indexed="9"/>
      <name val="Calibri"/>
      <family val="2"/>
      <scheme val="minor"/>
    </font>
    <font>
      <sz val="11"/>
      <name val="Calibri"/>
      <family val="2"/>
    </font>
    <font>
      <b/>
      <sz val="11"/>
      <color theme="1"/>
      <name val="Calibri"/>
      <family val="2"/>
      <scheme val="minor"/>
    </font>
    <font>
      <b/>
      <sz val="14"/>
      <color theme="1"/>
      <name val="Calibri"/>
      <family val="2"/>
      <scheme val="minor"/>
    </font>
    <font>
      <b/>
      <sz val="10"/>
      <color rgb="FF000000"/>
      <name val="Tahoma"/>
      <family val="2"/>
    </font>
    <font>
      <sz val="10"/>
      <color rgb="FF000000"/>
      <name val="Tahoma"/>
      <family val="2"/>
    </font>
    <font>
      <b/>
      <sz val="10"/>
      <name val="Arial"/>
      <family val="2"/>
    </font>
    <font>
      <vertAlign val="subscript"/>
      <sz val="10"/>
      <name val="Arial"/>
      <family val="2"/>
    </font>
    <font>
      <sz val="10"/>
      <color theme="1"/>
      <name val="Arial"/>
      <family val="2"/>
    </font>
    <font>
      <b/>
      <vertAlign val="subscript"/>
      <sz val="10"/>
      <name val="Arial"/>
      <family val="2"/>
    </font>
    <font>
      <b/>
      <sz val="11"/>
      <name val="Times New Roman"/>
      <family val="1"/>
    </font>
    <font>
      <sz val="11"/>
      <name val="Times New Roman"/>
      <family val="1"/>
    </font>
    <font>
      <vertAlign val="subscript"/>
      <sz val="10"/>
      <color indexed="8"/>
      <name val="Arial"/>
      <family val="2"/>
    </font>
    <font>
      <sz val="10"/>
      <color indexed="8"/>
      <name val="Arial"/>
      <family val="2"/>
    </font>
    <font>
      <b/>
      <sz val="10"/>
      <color theme="1"/>
      <name val="Arial"/>
      <family val="2"/>
    </font>
    <font>
      <sz val="9"/>
      <color indexed="8"/>
      <name val="Arial"/>
      <family val="2"/>
    </font>
    <font>
      <sz val="10"/>
      <color rgb="FF000000"/>
      <name val="Arial"/>
      <family val="2"/>
    </font>
    <font>
      <b/>
      <sz val="9"/>
      <color rgb="FF000000"/>
      <name val="Tahoma"/>
      <family val="2"/>
    </font>
    <font>
      <sz val="9"/>
      <color rgb="FF000000"/>
      <name val="Tahoma"/>
      <family val="2"/>
    </font>
    <font>
      <sz val="11"/>
      <color rgb="FFFFFFFF"/>
      <name val="Calibri"/>
      <family val="2"/>
    </font>
    <font>
      <b/>
      <sz val="16"/>
      <color theme="0"/>
      <name val="Calibri"/>
      <family val="2"/>
      <scheme val="minor"/>
    </font>
    <font>
      <b/>
      <sz val="12"/>
      <color theme="1"/>
      <name val="Calibri"/>
      <family val="2"/>
      <scheme val="minor"/>
    </font>
    <font>
      <b/>
      <sz val="20"/>
      <color theme="1"/>
      <name val="Calibri"/>
      <family val="2"/>
      <scheme val="minor"/>
    </font>
    <font>
      <b/>
      <sz val="24"/>
      <color theme="1"/>
      <name val="Calibri"/>
      <family val="2"/>
      <scheme val="minor"/>
    </font>
    <font>
      <sz val="11"/>
      <name val="Calibri"/>
      <family val="2"/>
      <scheme val="minor"/>
    </font>
    <font>
      <i/>
      <sz val="18"/>
      <color theme="1"/>
      <name val="Calibri"/>
      <family val="2"/>
      <scheme val="minor"/>
    </font>
    <font>
      <sz val="11"/>
      <color theme="0"/>
      <name val="Calibri"/>
      <family val="2"/>
      <scheme val="minor"/>
    </font>
    <font>
      <sz val="12"/>
      <color theme="1"/>
      <name val="Calibri"/>
      <family val="2"/>
      <scheme val="minor"/>
    </font>
    <font>
      <i/>
      <sz val="11"/>
      <color rgb="FF7F7F7F"/>
      <name val="Calibri"/>
      <family val="2"/>
      <scheme val="minor"/>
    </font>
    <font>
      <sz val="9"/>
      <color indexed="81"/>
      <name val="Tahoma"/>
      <charset val="1"/>
    </font>
    <font>
      <i/>
      <sz val="10"/>
      <color rgb="FF7F7F7F"/>
      <name val="Calibri"/>
      <family val="2"/>
      <scheme val="minor"/>
    </font>
    <font>
      <b/>
      <sz val="9"/>
      <color indexed="81"/>
      <name val="Tahoma"/>
      <charset val="1"/>
    </font>
    <font>
      <sz val="9"/>
      <color theme="1"/>
      <name val="Arial"/>
      <family val="2"/>
    </font>
    <font>
      <sz val="9"/>
      <name val="Arial"/>
      <family val="2"/>
    </font>
    <font>
      <b/>
      <sz val="10"/>
      <color theme="0"/>
      <name val="Arial"/>
      <family val="2"/>
    </font>
    <font>
      <b/>
      <i/>
      <u/>
      <sz val="9"/>
      <color theme="9"/>
      <name val="Arial"/>
      <family val="2"/>
    </font>
    <font>
      <b/>
      <sz val="22"/>
      <color theme="4"/>
      <name val="Calibri Light"/>
      <family val="2"/>
      <scheme val="major"/>
    </font>
    <font>
      <b/>
      <sz val="14"/>
      <name val="Calibri"/>
      <family val="2"/>
      <scheme val="minor"/>
    </font>
    <font>
      <sz val="9"/>
      <name val="Calibri"/>
      <family val="2"/>
      <scheme val="minor"/>
    </font>
    <font>
      <i/>
      <sz val="9"/>
      <name val="Calibri"/>
      <family val="2"/>
      <scheme val="minor"/>
    </font>
    <font>
      <b/>
      <sz val="9"/>
      <color theme="0"/>
      <name val="Calibri"/>
      <family val="2"/>
      <scheme val="minor"/>
    </font>
    <font>
      <sz val="9"/>
      <color rgb="FFE85F31"/>
      <name val="Calibri"/>
      <family val="2"/>
      <scheme val="minor"/>
    </font>
    <font>
      <b/>
      <i/>
      <sz val="9"/>
      <color theme="1"/>
      <name val="Arial"/>
      <family val="2"/>
    </font>
    <font>
      <sz val="9"/>
      <color rgb="FF9C0006"/>
      <name val="Calibri"/>
      <family val="2"/>
      <scheme val="minor"/>
    </font>
    <font>
      <sz val="9"/>
      <color rgb="FF006100"/>
      <name val="Calibri"/>
      <family val="2"/>
      <scheme val="minor"/>
    </font>
    <font>
      <sz val="9"/>
      <color rgb="FF9C5700"/>
      <name val="Calibri"/>
      <family val="2"/>
      <scheme val="minor"/>
    </font>
    <font>
      <b/>
      <i/>
      <sz val="9"/>
      <color theme="6" tint="-0.24994659260841701"/>
      <name val="Calibri"/>
      <family val="2"/>
      <scheme val="minor"/>
    </font>
    <font>
      <b/>
      <sz val="9"/>
      <color theme="1"/>
      <name val="Calibri"/>
      <family val="2"/>
      <scheme val="minor"/>
    </font>
    <font>
      <b/>
      <sz val="13"/>
      <color theme="4"/>
      <name val="Calibri"/>
      <family val="2"/>
      <scheme val="minor"/>
    </font>
    <font>
      <b/>
      <sz val="11"/>
      <color theme="4"/>
      <name val="Calibri"/>
      <family val="2"/>
      <scheme val="minor"/>
    </font>
    <font>
      <b/>
      <i/>
      <sz val="10"/>
      <color theme="4"/>
      <name val="Calibri"/>
      <family val="2"/>
      <scheme val="minor"/>
    </font>
    <font>
      <i/>
      <sz val="9"/>
      <color theme="1" tint="0.499984740745262"/>
      <name val="Calibri"/>
      <family val="2"/>
      <scheme val="minor"/>
    </font>
    <font>
      <sz val="10"/>
      <color theme="0"/>
      <name val="Arial"/>
      <family val="2"/>
    </font>
  </fonts>
  <fills count="27">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005070"/>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034E6E"/>
        <bgColor rgb="FF000000"/>
      </patternFill>
    </fill>
    <fill>
      <patternFill patternType="solid">
        <fgColor rgb="FFF2F2F2"/>
        <bgColor rgb="FF000000"/>
      </patternFill>
    </fill>
    <fill>
      <patternFill patternType="solid">
        <fgColor rgb="FFCCFFCC"/>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3" tint="0.79998168889431442"/>
        <bgColor indexed="64"/>
      </patternFill>
    </fill>
    <fill>
      <patternFill patternType="solid">
        <fgColor rgb="FFFFFFCC"/>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39994506668294322"/>
        <bgColor indexed="64"/>
      </patternFill>
    </fill>
    <fill>
      <patternFill patternType="solid">
        <fgColor theme="8" tint="0.59999389629810485"/>
        <bgColor indexed="64"/>
      </patternFill>
    </fill>
    <fill>
      <patternFill patternType="solid">
        <fgColor theme="0" tint="-0.24994659260841701"/>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3" tint="0.39994506668294322"/>
      </bottom>
      <diagonal/>
    </border>
    <border>
      <left/>
      <right/>
      <top/>
      <bottom style="medium">
        <color theme="4" tint="0.39994506668294322"/>
      </bottom>
      <diagonal/>
    </border>
    <border>
      <left style="thin">
        <color theme="4"/>
      </left>
      <right style="thin">
        <color theme="4"/>
      </right>
      <top style="thin">
        <color theme="4"/>
      </top>
      <bottom style="thin">
        <color theme="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164" fontId="3" fillId="0" borderId="0">
      <alignment horizontal="left" wrapText="1"/>
    </xf>
    <xf numFmtId="0" fontId="1" fillId="0" borderId="0"/>
    <xf numFmtId="9" fontId="3" fillId="0" borderId="0" applyFont="0" applyFill="0" applyBorder="0" applyAlignment="0" applyProtection="0"/>
    <xf numFmtId="0" fontId="2" fillId="2" borderId="12" applyNumberFormat="0" applyBorder="0">
      <alignment horizontal="center" vertical="center" wrapText="1"/>
    </xf>
    <xf numFmtId="0" fontId="6" fillId="4" borderId="13" applyNumberFormat="0">
      <alignment horizontal="left" vertical="center"/>
    </xf>
    <xf numFmtId="10" fontId="7" fillId="0" borderId="0" applyFont="0" applyFill="0" applyBorder="0" applyAlignment="0" applyProtection="0"/>
    <xf numFmtId="0" fontId="8" fillId="0" borderId="14"/>
    <xf numFmtId="43" fontId="7" fillId="0" borderId="0" applyFont="0" applyFill="0" applyBorder="0" applyAlignment="0" applyProtection="0"/>
    <xf numFmtId="0" fontId="7" fillId="0" borderId="0"/>
    <xf numFmtId="9" fontId="7" fillId="0" borderId="0" applyFont="0" applyFill="0" applyBorder="0" applyAlignment="0" applyProtection="0"/>
    <xf numFmtId="0" fontId="3" fillId="0" borderId="0"/>
    <xf numFmtId="43" fontId="3" fillId="0" borderId="0" applyFont="0" applyFill="0" applyBorder="0" applyAlignment="0" applyProtection="0"/>
    <xf numFmtId="0" fontId="37" fillId="0" borderId="0" applyNumberFormat="0" applyFill="0" applyBorder="0" applyAlignment="0" applyProtection="0"/>
    <xf numFmtId="0" fontId="41" fillId="0" borderId="0">
      <alignment vertical="center"/>
    </xf>
    <xf numFmtId="0" fontId="43" fillId="2" borderId="34" applyNumberFormat="0">
      <alignment vertical="center"/>
    </xf>
    <xf numFmtId="0" fontId="41" fillId="20" borderId="13" applyNumberFormat="0">
      <alignment vertical="center"/>
    </xf>
    <xf numFmtId="0" fontId="42" fillId="0" borderId="13" applyNumberFormat="0">
      <alignment vertical="center"/>
    </xf>
    <xf numFmtId="0" fontId="41" fillId="22" borderId="13" applyAlignment="0">
      <alignment horizontal="left"/>
    </xf>
    <xf numFmtId="9" fontId="7" fillId="0" borderId="0" applyFont="0" applyFill="0" applyBorder="0" applyAlignment="0" applyProtection="0">
      <protection locked="0"/>
    </xf>
    <xf numFmtId="43" fontId="7" fillId="0" borderId="0" applyFont="0" applyFill="0" applyBorder="0" applyAlignment="0" applyProtection="0">
      <protection locked="0"/>
    </xf>
    <xf numFmtId="0" fontId="44" fillId="23" borderId="13" applyNumberFormat="0" applyProtection="0">
      <alignment vertical="center"/>
    </xf>
    <xf numFmtId="44" fontId="41" fillId="0" borderId="0" applyFont="0" applyFill="0" applyBorder="0" applyAlignment="0" applyProtection="0">
      <protection locked="0"/>
    </xf>
    <xf numFmtId="0" fontId="45" fillId="0" borderId="31" applyNumberFormat="0" applyAlignment="0"/>
    <xf numFmtId="0" fontId="46" fillId="0" borderId="14" applyNumberFormat="0" applyAlignment="0"/>
    <xf numFmtId="0" fontId="57" fillId="0" borderId="31" applyNumberFormat="0" applyAlignment="0">
      <alignment vertical="center"/>
    </xf>
    <xf numFmtId="0" fontId="58" fillId="0" borderId="33" applyNumberFormat="0" applyAlignment="0"/>
    <xf numFmtId="0" fontId="59" fillId="0" borderId="32" applyNumberFormat="0" applyAlignment="0"/>
    <xf numFmtId="0" fontId="53" fillId="16" borderId="0" applyNumberFormat="0" applyBorder="0" applyProtection="0">
      <alignment vertical="center"/>
    </xf>
    <xf numFmtId="0" fontId="52" fillId="17" borderId="0" applyNumberFormat="0" applyBorder="0" applyProtection="0">
      <alignment vertical="center"/>
    </xf>
    <xf numFmtId="0" fontId="54" fillId="18" borderId="0" applyNumberFormat="0" applyBorder="0" applyProtection="0">
      <alignment vertical="center"/>
    </xf>
    <xf numFmtId="0" fontId="47" fillId="21" borderId="13" applyNumberFormat="0">
      <alignment vertical="center"/>
    </xf>
    <xf numFmtId="0" fontId="48" fillId="4" borderId="13" applyNumberFormat="0">
      <alignment vertical="center"/>
    </xf>
    <xf numFmtId="0" fontId="48" fillId="3" borderId="13" applyNumberFormat="0">
      <alignment vertical="center"/>
    </xf>
    <xf numFmtId="0" fontId="50" fillId="0" borderId="28" applyNumberFormat="0">
      <alignment vertical="center"/>
    </xf>
    <xf numFmtId="0" fontId="49" fillId="19" borderId="29" applyNumberFormat="0">
      <alignment vertical="center"/>
    </xf>
    <xf numFmtId="0" fontId="55" fillId="0" borderId="0" applyNumberFormat="0" applyFill="0" applyBorder="0">
      <alignment vertical="center"/>
    </xf>
    <xf numFmtId="0" fontId="51" fillId="24" borderId="13" applyNumberFormat="0">
      <alignment vertical="center"/>
    </xf>
    <xf numFmtId="0" fontId="60" fillId="0" borderId="0" applyNumberFormat="0" applyFill="0" applyBorder="0" applyAlignment="0"/>
    <xf numFmtId="0" fontId="56" fillId="0" borderId="30" applyNumberFormat="0">
      <alignment vertical="center"/>
    </xf>
    <xf numFmtId="22" fontId="41" fillId="0" borderId="0" applyFont="0" applyFill="0" applyBorder="0" applyProtection="0">
      <alignment vertical="center"/>
      <protection locked="0"/>
    </xf>
    <xf numFmtId="172" fontId="41" fillId="0" borderId="0" applyFont="0" applyFill="0" applyBorder="0" applyProtection="0">
      <alignment vertical="center"/>
      <protection locked="0"/>
    </xf>
    <xf numFmtId="0" fontId="48" fillId="26" borderId="13" applyNumberFormat="0">
      <alignment vertical="center"/>
    </xf>
    <xf numFmtId="0" fontId="47" fillId="25" borderId="13" applyNumberFormat="0">
      <alignment vertical="center"/>
    </xf>
  </cellStyleXfs>
  <cellXfs count="194">
    <xf numFmtId="0" fontId="0" fillId="0" borderId="0" xfId="0"/>
    <xf numFmtId="0" fontId="0" fillId="9" borderId="0" xfId="0" applyFill="1"/>
    <xf numFmtId="0" fontId="0" fillId="9" borderId="0" xfId="0" applyFill="1" applyAlignment="1">
      <alignment horizontal="center" vertical="center" wrapText="1"/>
    </xf>
    <xf numFmtId="0" fontId="2" fillId="2" borderId="9" xfId="0" applyFont="1" applyFill="1" applyBorder="1" applyAlignment="1">
      <alignment horizontal="center" vertical="center" wrapText="1"/>
    </xf>
    <xf numFmtId="0" fontId="0" fillId="0" borderId="9" xfId="0" applyBorder="1" applyAlignment="1">
      <alignment wrapText="1"/>
    </xf>
    <xf numFmtId="0" fontId="0" fillId="0" borderId="9" xfId="0" applyBorder="1"/>
    <xf numFmtId="37" fontId="0" fillId="0" borderId="9" xfId="0" applyNumberFormat="1" applyBorder="1"/>
    <xf numFmtId="165" fontId="0" fillId="0" borderId="9" xfId="0" applyNumberFormat="1" applyBorder="1"/>
    <xf numFmtId="9" fontId="5" fillId="3" borderId="9" xfId="2" applyFont="1" applyFill="1" applyBorder="1" applyAlignment="1">
      <alignment horizontal="center"/>
    </xf>
    <xf numFmtId="167" fontId="0" fillId="0" borderId="9" xfId="1" applyNumberFormat="1" applyFont="1" applyBorder="1"/>
    <xf numFmtId="165" fontId="0" fillId="0" borderId="9" xfId="0" applyNumberFormat="1" applyBorder="1" applyAlignment="1">
      <alignment wrapText="1"/>
    </xf>
    <xf numFmtId="168" fontId="0" fillId="0" borderId="9" xfId="0" applyNumberFormat="1" applyBorder="1"/>
    <xf numFmtId="169" fontId="0" fillId="0" borderId="9" xfId="0" applyNumberFormat="1" applyBorder="1"/>
    <xf numFmtId="39" fontId="0" fillId="0" borderId="9" xfId="0" applyNumberFormat="1" applyBorder="1"/>
    <xf numFmtId="0" fontId="15" fillId="0" borderId="0" xfId="13" applyFont="1" applyAlignment="1">
      <alignment wrapText="1"/>
    </xf>
    <xf numFmtId="0" fontId="15" fillId="10" borderId="9" xfId="13" applyFont="1" applyFill="1" applyBorder="1"/>
    <xf numFmtId="0" fontId="3" fillId="0" borderId="9" xfId="13" applyBorder="1"/>
    <xf numFmtId="1" fontId="17" fillId="0" borderId="9" xfId="13" applyNumberFormat="1" applyFont="1" applyBorder="1" applyAlignment="1">
      <alignment horizontal="right"/>
    </xf>
    <xf numFmtId="1" fontId="17" fillId="0" borderId="1" xfId="13" applyNumberFormat="1" applyFont="1" applyBorder="1" applyAlignment="1">
      <alignment horizontal="right"/>
    </xf>
    <xf numFmtId="0" fontId="3" fillId="0" borderId="0" xfId="13"/>
    <xf numFmtId="0" fontId="15" fillId="10" borderId="16" xfId="13" applyFont="1" applyFill="1" applyBorder="1"/>
    <xf numFmtId="0" fontId="3" fillId="0" borderId="11" xfId="13" applyBorder="1"/>
    <xf numFmtId="1" fontId="17" fillId="0" borderId="6" xfId="13" applyNumberFormat="1" applyFont="1" applyBorder="1" applyAlignment="1">
      <alignment horizontal="right"/>
    </xf>
    <xf numFmtId="1" fontId="17" fillId="0" borderId="5" xfId="13" applyNumberFormat="1" applyFont="1" applyBorder="1" applyAlignment="1">
      <alignment horizontal="right"/>
    </xf>
    <xf numFmtId="0" fontId="15" fillId="10" borderId="17" xfId="13" applyFont="1" applyFill="1" applyBorder="1"/>
    <xf numFmtId="0" fontId="3" fillId="0" borderId="2" xfId="13" applyBorder="1"/>
    <xf numFmtId="0" fontId="15" fillId="10" borderId="18" xfId="13" applyFont="1" applyFill="1" applyBorder="1"/>
    <xf numFmtId="0" fontId="3" fillId="0" borderId="10" xfId="13" applyBorder="1"/>
    <xf numFmtId="1" fontId="17" fillId="0" borderId="15" xfId="13" applyNumberFormat="1" applyFont="1" applyBorder="1" applyAlignment="1">
      <alignment horizontal="right"/>
    </xf>
    <xf numFmtId="1" fontId="17" fillId="0" borderId="4" xfId="13" applyNumberFormat="1" applyFont="1" applyBorder="1" applyAlignment="1">
      <alignment horizontal="right"/>
    </xf>
    <xf numFmtId="0" fontId="15" fillId="10" borderId="19" xfId="13" applyFont="1" applyFill="1" applyBorder="1"/>
    <xf numFmtId="0" fontId="3" fillId="9" borderId="2" xfId="13" applyFill="1" applyBorder="1"/>
    <xf numFmtId="0" fontId="3" fillId="9" borderId="9" xfId="13" applyFill="1" applyBorder="1"/>
    <xf numFmtId="1" fontId="17" fillId="0" borderId="9" xfId="14" applyNumberFormat="1" applyFont="1" applyFill="1" applyBorder="1" applyAlignment="1">
      <alignment horizontal="right"/>
    </xf>
    <xf numFmtId="1" fontId="17" fillId="0" borderId="1" xfId="14" applyNumberFormat="1" applyFont="1" applyFill="1" applyBorder="1" applyAlignment="1">
      <alignment horizontal="right"/>
    </xf>
    <xf numFmtId="0" fontId="3" fillId="0" borderId="10" xfId="13" applyBorder="1" applyAlignment="1">
      <alignment wrapText="1"/>
    </xf>
    <xf numFmtId="0" fontId="3" fillId="0" borderId="9" xfId="13" applyBorder="1" applyAlignment="1">
      <alignment wrapText="1"/>
    </xf>
    <xf numFmtId="1" fontId="17" fillId="0" borderId="9" xfId="13" applyNumberFormat="1" applyFont="1" applyBorder="1" applyAlignment="1">
      <alignment horizontal="right" wrapText="1"/>
    </xf>
    <xf numFmtId="0" fontId="17" fillId="0" borderId="9" xfId="13" applyFont="1" applyBorder="1" applyAlignment="1">
      <alignment wrapText="1"/>
    </xf>
    <xf numFmtId="1" fontId="17" fillId="0" borderId="9" xfId="13" applyNumberFormat="1" applyFont="1" applyBorder="1"/>
    <xf numFmtId="1" fontId="17" fillId="0" borderId="1" xfId="13" applyNumberFormat="1" applyFont="1" applyBorder="1"/>
    <xf numFmtId="0" fontId="23" fillId="10" borderId="9" xfId="13" applyFont="1" applyFill="1" applyBorder="1"/>
    <xf numFmtId="1" fontId="17" fillId="0" borderId="1" xfId="13" applyNumberFormat="1" applyFont="1" applyBorder="1" applyAlignment="1">
      <alignment horizontal="right" wrapText="1"/>
    </xf>
    <xf numFmtId="1" fontId="23" fillId="0" borderId="9" xfId="13" applyNumberFormat="1" applyFont="1" applyBorder="1" applyAlignment="1">
      <alignment horizontal="right"/>
    </xf>
    <xf numFmtId="1" fontId="23" fillId="0" borderId="1" xfId="13" applyNumberFormat="1" applyFont="1" applyBorder="1" applyAlignment="1">
      <alignment horizontal="right"/>
    </xf>
    <xf numFmtId="1" fontId="17" fillId="0" borderId="0" xfId="13" applyNumberFormat="1" applyFont="1" applyAlignment="1">
      <alignment horizontal="right"/>
    </xf>
    <xf numFmtId="0" fontId="3" fillId="9" borderId="9" xfId="13" applyFill="1" applyBorder="1" applyAlignment="1">
      <alignment wrapText="1"/>
    </xf>
    <xf numFmtId="1" fontId="17" fillId="0" borderId="0" xfId="13" applyNumberFormat="1" applyFont="1"/>
    <xf numFmtId="0" fontId="25" fillId="0" borderId="0" xfId="13" applyFont="1" applyAlignment="1">
      <alignment vertical="center"/>
    </xf>
    <xf numFmtId="0" fontId="28" fillId="11" borderId="4" xfId="0" applyFont="1" applyFill="1" applyBorder="1" applyAlignment="1">
      <alignment horizontal="center"/>
    </xf>
    <xf numFmtId="0" fontId="28" fillId="11" borderId="8" xfId="0" applyFont="1" applyFill="1" applyBorder="1" applyAlignment="1">
      <alignment horizontal="center"/>
    </xf>
    <xf numFmtId="0" fontId="28" fillId="11" borderId="10" xfId="0" applyFont="1" applyFill="1" applyBorder="1" applyAlignment="1">
      <alignment horizontal="center"/>
    </xf>
    <xf numFmtId="0" fontId="0" fillId="9" borderId="0" xfId="0" applyFill="1" applyAlignment="1">
      <alignment horizontal="right" vertical="center"/>
    </xf>
    <xf numFmtId="10" fontId="10" fillId="12" borderId="6" xfId="2" applyNumberFormat="1" applyFont="1" applyFill="1" applyBorder="1" applyAlignment="1">
      <alignment horizontal="center" vertical="center"/>
    </xf>
    <xf numFmtId="0" fontId="9" fillId="5" borderId="9" xfId="0" applyFont="1" applyFill="1" applyBorder="1" applyAlignment="1">
      <alignment horizontal="left" vertical="center"/>
    </xf>
    <xf numFmtId="0" fontId="12" fillId="9" borderId="0" xfId="0" applyFont="1" applyFill="1" applyAlignment="1">
      <alignment vertical="center"/>
    </xf>
    <xf numFmtId="166" fontId="10" fillId="9" borderId="5" xfId="0" applyNumberFormat="1" applyFont="1" applyFill="1" applyBorder="1" applyAlignment="1">
      <alignment horizontal="center" vertical="center"/>
    </xf>
    <xf numFmtId="166" fontId="10" fillId="9" borderId="7" xfId="0" applyNumberFormat="1" applyFont="1" applyFill="1" applyBorder="1" applyAlignment="1">
      <alignment horizontal="center" vertical="center"/>
    </xf>
    <xf numFmtId="8" fontId="10" fillId="9" borderId="7" xfId="0" applyNumberFormat="1" applyFont="1" applyFill="1" applyBorder="1" applyAlignment="1">
      <alignment horizontal="center" vertical="center"/>
    </xf>
    <xf numFmtId="8" fontId="10" fillId="9" borderId="11" xfId="0" applyNumberFormat="1" applyFont="1" applyFill="1" applyBorder="1" applyAlignment="1">
      <alignment horizontal="center" vertical="center"/>
    </xf>
    <xf numFmtId="0" fontId="28" fillId="11" borderId="15" xfId="0" applyFont="1" applyFill="1" applyBorder="1" applyAlignment="1">
      <alignment horizontal="center" wrapText="1"/>
    </xf>
    <xf numFmtId="1" fontId="0" fillId="9" borderId="0" xfId="2" applyNumberFormat="1" applyFont="1" applyFill="1" applyBorder="1"/>
    <xf numFmtId="165" fontId="0" fillId="9" borderId="0" xfId="2" applyNumberFormat="1" applyFont="1" applyFill="1" applyBorder="1"/>
    <xf numFmtId="170" fontId="0" fillId="9" borderId="0" xfId="0" applyNumberFormat="1" applyFill="1"/>
    <xf numFmtId="44" fontId="0" fillId="9" borderId="0" xfId="0" applyNumberFormat="1" applyFill="1"/>
    <xf numFmtId="0" fontId="32" fillId="9" borderId="0" xfId="0" applyFont="1" applyFill="1"/>
    <xf numFmtId="0" fontId="11" fillId="9" borderId="0" xfId="0" applyFont="1" applyFill="1"/>
    <xf numFmtId="0" fontId="12" fillId="9" borderId="0" xfId="0" applyFont="1" applyFill="1"/>
    <xf numFmtId="0" fontId="34" fillId="9" borderId="0" xfId="0" applyFont="1" applyFill="1"/>
    <xf numFmtId="0" fontId="33" fillId="6" borderId="9" xfId="0" applyFont="1" applyFill="1" applyBorder="1" applyAlignment="1">
      <alignment horizontal="center"/>
    </xf>
    <xf numFmtId="0" fontId="4" fillId="14" borderId="9" xfId="0" applyFont="1" applyFill="1" applyBorder="1" applyAlignment="1">
      <alignment horizontal="center"/>
    </xf>
    <xf numFmtId="0" fontId="31" fillId="9" borderId="0" xfId="0" applyFont="1" applyFill="1"/>
    <xf numFmtId="0" fontId="11" fillId="9" borderId="0" xfId="0" applyFont="1" applyFill="1" applyAlignment="1">
      <alignment vertical="center"/>
    </xf>
    <xf numFmtId="0" fontId="12" fillId="9" borderId="20" xfId="0" applyFont="1" applyFill="1" applyBorder="1" applyAlignment="1">
      <alignment vertical="center"/>
    </xf>
    <xf numFmtId="0" fontId="12" fillId="9" borderId="21" xfId="0" applyFont="1" applyFill="1" applyBorder="1" applyAlignment="1">
      <alignment vertical="center"/>
    </xf>
    <xf numFmtId="0" fontId="0" fillId="9" borderId="21" xfId="0" applyFill="1" applyBorder="1"/>
    <xf numFmtId="0" fontId="0" fillId="9" borderId="22" xfId="0" applyFill="1" applyBorder="1"/>
    <xf numFmtId="0" fontId="29" fillId="5" borderId="23" xfId="0" applyFont="1" applyFill="1" applyBorder="1" applyAlignment="1">
      <alignment horizontal="centerContinuous" vertical="center" wrapText="1"/>
    </xf>
    <xf numFmtId="0" fontId="29" fillId="5" borderId="24" xfId="0" applyFont="1" applyFill="1" applyBorder="1" applyAlignment="1">
      <alignment horizontal="centerContinuous" vertical="center" wrapText="1"/>
    </xf>
    <xf numFmtId="0" fontId="0" fillId="9" borderId="23" xfId="0" applyFill="1" applyBorder="1"/>
    <xf numFmtId="0" fontId="0" fillId="9" borderId="24" xfId="0" applyFill="1" applyBorder="1"/>
    <xf numFmtId="0" fontId="12" fillId="9" borderId="24" xfId="0" applyFont="1" applyFill="1" applyBorder="1"/>
    <xf numFmtId="0" fontId="0" fillId="9" borderId="25" xfId="0" applyFill="1" applyBorder="1"/>
    <xf numFmtId="0" fontId="0" fillId="9" borderId="14" xfId="0" applyFill="1" applyBorder="1"/>
    <xf numFmtId="0" fontId="0" fillId="9" borderId="26" xfId="0" applyFill="1" applyBorder="1"/>
    <xf numFmtId="0" fontId="4" fillId="3" borderId="0" xfId="0" applyFont="1" applyFill="1"/>
    <xf numFmtId="1" fontId="4" fillId="7" borderId="0" xfId="0" applyNumberFormat="1" applyFont="1" applyFill="1"/>
    <xf numFmtId="9" fontId="4" fillId="7" borderId="0" xfId="2" applyFont="1" applyFill="1" applyBorder="1"/>
    <xf numFmtId="0" fontId="4" fillId="7" borderId="0" xfId="0" applyFont="1" applyFill="1"/>
    <xf numFmtId="170" fontId="0" fillId="13" borderId="0" xfId="0" applyNumberFormat="1" applyFill="1"/>
    <xf numFmtId="0" fontId="0" fillId="9" borderId="0" xfId="0" applyFill="1" applyAlignment="1">
      <alignment horizontal="right"/>
    </xf>
    <xf numFmtId="0" fontId="0" fillId="9" borderId="0" xfId="0" applyFill="1" applyAlignment="1">
      <alignment horizontal="left" indent="1"/>
    </xf>
    <xf numFmtId="0" fontId="0" fillId="9" borderId="0" xfId="0" applyFill="1" applyAlignment="1">
      <alignment horizontal="left" wrapText="1" indent="1"/>
    </xf>
    <xf numFmtId="0" fontId="35" fillId="9" borderId="0" xfId="0" applyFont="1" applyFill="1"/>
    <xf numFmtId="0" fontId="33" fillId="3" borderId="9" xfId="0" applyFont="1" applyFill="1" applyBorder="1" applyAlignment="1">
      <alignment horizontal="center"/>
    </xf>
    <xf numFmtId="0" fontId="0" fillId="14" borderId="9" xfId="0" applyFill="1" applyBorder="1" applyAlignment="1">
      <alignment horizontal="center"/>
    </xf>
    <xf numFmtId="0" fontId="2" fillId="2" borderId="0" xfId="6" applyBorder="1">
      <alignment horizontal="center" vertical="center" wrapText="1"/>
    </xf>
    <xf numFmtId="0" fontId="0" fillId="9" borderId="15" xfId="0" applyFill="1" applyBorder="1"/>
    <xf numFmtId="0" fontId="0" fillId="9" borderId="3" xfId="0" applyFill="1" applyBorder="1"/>
    <xf numFmtId="0" fontId="35" fillId="2" borderId="0" xfId="6" applyFont="1" applyBorder="1">
      <alignment horizontal="center" vertical="center" wrapText="1"/>
    </xf>
    <xf numFmtId="0" fontId="5" fillId="9" borderId="7" xfId="0" applyFont="1" applyFill="1" applyBorder="1" applyAlignment="1">
      <alignment vertical="center" wrapText="1"/>
    </xf>
    <xf numFmtId="0" fontId="5" fillId="9" borderId="7" xfId="0" applyFont="1" applyFill="1" applyBorder="1" applyAlignment="1">
      <alignment vertical="center"/>
    </xf>
    <xf numFmtId="0" fontId="30" fillId="9" borderId="23" xfId="0" applyFont="1" applyFill="1" applyBorder="1"/>
    <xf numFmtId="0" fontId="5" fillId="9" borderId="0" xfId="0" applyFont="1" applyFill="1" applyAlignment="1">
      <alignment horizontal="left" vertical="center"/>
    </xf>
    <xf numFmtId="1" fontId="2" fillId="2" borderId="0" xfId="6" applyNumberFormat="1" applyBorder="1">
      <alignment horizontal="center" vertical="center" wrapText="1"/>
    </xf>
    <xf numFmtId="9" fontId="4" fillId="3" borderId="0" xfId="2" applyFont="1" applyFill="1" applyBorder="1"/>
    <xf numFmtId="0" fontId="5" fillId="9" borderId="9" xfId="0" applyFont="1" applyFill="1" applyBorder="1" applyAlignment="1">
      <alignment vertical="center" wrapText="1"/>
    </xf>
    <xf numFmtId="0" fontId="0" fillId="14" borderId="2" xfId="0" applyFill="1" applyBorder="1" applyAlignment="1">
      <alignment horizontal="center"/>
    </xf>
    <xf numFmtId="0" fontId="33" fillId="6" borderId="2" xfId="0" applyFont="1" applyFill="1" applyBorder="1" applyAlignment="1">
      <alignment horizontal="center"/>
    </xf>
    <xf numFmtId="0" fontId="33" fillId="3" borderId="2" xfId="0" applyFont="1" applyFill="1" applyBorder="1" applyAlignment="1">
      <alignment horizontal="center"/>
    </xf>
    <xf numFmtId="40" fontId="0" fillId="9" borderId="9" xfId="0" applyNumberFormat="1" applyFill="1" applyBorder="1"/>
    <xf numFmtId="40" fontId="0" fillId="13" borderId="9" xfId="0" applyNumberFormat="1" applyFill="1" applyBorder="1"/>
    <xf numFmtId="0" fontId="0" fillId="9" borderId="23" xfId="0" applyFill="1" applyBorder="1" applyAlignment="1">
      <alignment horizontal="right"/>
    </xf>
    <xf numFmtId="0" fontId="11" fillId="9" borderId="23" xfId="0" applyFont="1" applyFill="1" applyBorder="1" applyAlignment="1">
      <alignment horizontal="right"/>
    </xf>
    <xf numFmtId="0" fontId="30" fillId="9" borderId="23" xfId="0" applyFont="1" applyFill="1" applyBorder="1" applyAlignment="1">
      <alignment horizontal="right"/>
    </xf>
    <xf numFmtId="0" fontId="36" fillId="9" borderId="23" xfId="0" applyFont="1" applyFill="1" applyBorder="1" applyAlignment="1">
      <alignment horizontal="right"/>
    </xf>
    <xf numFmtId="0" fontId="4" fillId="6" borderId="9" xfId="0" applyFont="1" applyFill="1" applyBorder="1" applyAlignment="1">
      <alignment horizontal="center"/>
    </xf>
    <xf numFmtId="0" fontId="4" fillId="3" borderId="9" xfId="0" applyFont="1" applyFill="1" applyBorder="1" applyAlignment="1">
      <alignment horizontal="center"/>
    </xf>
    <xf numFmtId="0" fontId="4" fillId="7" borderId="9" xfId="0" applyFont="1" applyFill="1" applyBorder="1" applyAlignment="1">
      <alignment horizontal="center"/>
    </xf>
    <xf numFmtId="0" fontId="4" fillId="8" borderId="9" xfId="0" applyFont="1" applyFill="1" applyBorder="1" applyAlignment="1">
      <alignment horizontal="center"/>
    </xf>
    <xf numFmtId="0" fontId="5" fillId="9" borderId="0" xfId="0" applyFont="1" applyFill="1" applyAlignment="1">
      <alignment vertical="center" wrapText="1"/>
    </xf>
    <xf numFmtId="171" fontId="0" fillId="9" borderId="0" xfId="0" applyNumberFormat="1" applyFill="1"/>
    <xf numFmtId="170" fontId="0" fillId="9" borderId="24" xfId="0" applyNumberFormat="1" applyFill="1" applyBorder="1" applyAlignment="1">
      <alignment horizontal="center"/>
    </xf>
    <xf numFmtId="171" fontId="4" fillId="3" borderId="0" xfId="0" applyNumberFormat="1" applyFont="1" applyFill="1"/>
    <xf numFmtId="0" fontId="0" fillId="3" borderId="9" xfId="0" applyFill="1" applyBorder="1" applyAlignment="1">
      <alignment horizontal="center"/>
    </xf>
    <xf numFmtId="14" fontId="0" fillId="9" borderId="0" xfId="0" applyNumberFormat="1" applyFill="1"/>
    <xf numFmtId="0" fontId="0" fillId="9" borderId="0" xfId="0" applyFill="1" applyAlignment="1">
      <alignment horizontal="left"/>
    </xf>
    <xf numFmtId="170" fontId="0" fillId="9" borderId="21" xfId="0" applyNumberFormat="1" applyFill="1" applyBorder="1" applyAlignment="1">
      <alignment horizontal="center"/>
    </xf>
    <xf numFmtId="170" fontId="0" fillId="9" borderId="22" xfId="0" applyNumberFormat="1" applyFill="1" applyBorder="1" applyAlignment="1">
      <alignment horizontal="center"/>
    </xf>
    <xf numFmtId="4" fontId="0" fillId="9" borderId="24" xfId="0" applyNumberFormat="1" applyFill="1" applyBorder="1" applyAlignment="1">
      <alignment horizontal="center"/>
    </xf>
    <xf numFmtId="4" fontId="0" fillId="9" borderId="14" xfId="0" applyNumberFormat="1" applyFill="1" applyBorder="1" applyAlignment="1">
      <alignment horizontal="center"/>
    </xf>
    <xf numFmtId="4" fontId="0" fillId="9" borderId="26" xfId="0" applyNumberFormat="1" applyFill="1" applyBorder="1" applyAlignment="1">
      <alignment horizontal="center"/>
    </xf>
    <xf numFmtId="0" fontId="0" fillId="9" borderId="8" xfId="0" applyFill="1" applyBorder="1"/>
    <xf numFmtId="8" fontId="0" fillId="9" borderId="0" xfId="0" applyNumberFormat="1" applyFill="1"/>
    <xf numFmtId="0" fontId="11" fillId="0" borderId="9" xfId="0" applyFont="1" applyBorder="1"/>
    <xf numFmtId="14" fontId="0" fillId="0" borderId="9" xfId="0" applyNumberFormat="1" applyBorder="1"/>
    <xf numFmtId="0" fontId="33" fillId="14" borderId="9" xfId="0" applyFont="1" applyFill="1" applyBorder="1" applyAlignment="1">
      <alignment horizontal="center"/>
    </xf>
    <xf numFmtId="0" fontId="33" fillId="14" borderId="2" xfId="0" applyFont="1" applyFill="1" applyBorder="1" applyAlignment="1">
      <alignment horizontal="center"/>
    </xf>
    <xf numFmtId="0" fontId="29" fillId="5" borderId="0" xfId="0" applyFont="1" applyFill="1" applyAlignment="1">
      <alignment horizontal="centerContinuous" vertical="center" wrapText="1"/>
    </xf>
    <xf numFmtId="0" fontId="12" fillId="9" borderId="0" xfId="0" applyFont="1" applyFill="1" applyAlignment="1">
      <alignment horizontal="center" vertical="center"/>
    </xf>
    <xf numFmtId="0" fontId="30" fillId="9" borderId="0" xfId="0" applyFont="1" applyFill="1"/>
    <xf numFmtId="0" fontId="30" fillId="9" borderId="0" xfId="0" applyFont="1" applyFill="1" applyAlignment="1">
      <alignment horizontal="center"/>
    </xf>
    <xf numFmtId="0" fontId="0" fillId="9" borderId="35" xfId="0" applyFill="1" applyBorder="1"/>
    <xf numFmtId="0" fontId="0" fillId="9" borderId="0" xfId="0" applyFill="1" applyAlignment="1">
      <alignment horizontal="center"/>
    </xf>
    <xf numFmtId="170" fontId="0" fillId="9" borderId="20" xfId="0" applyNumberFormat="1" applyFill="1" applyBorder="1" applyAlignment="1">
      <alignment horizontal="center"/>
    </xf>
    <xf numFmtId="170" fontId="0" fillId="9" borderId="23" xfId="0" applyNumberFormat="1" applyFill="1" applyBorder="1" applyAlignment="1">
      <alignment horizontal="center"/>
    </xf>
    <xf numFmtId="170" fontId="0" fillId="9" borderId="0" xfId="0" applyNumberFormat="1" applyFill="1" applyAlignment="1">
      <alignment horizontal="center"/>
    </xf>
    <xf numFmtId="4" fontId="0" fillId="9" borderId="23" xfId="0" applyNumberFormat="1" applyFill="1" applyBorder="1" applyAlignment="1">
      <alignment horizontal="center"/>
    </xf>
    <xf numFmtId="4" fontId="0" fillId="9" borderId="0" xfId="0" applyNumberFormat="1" applyFill="1" applyAlignment="1">
      <alignment horizontal="center"/>
    </xf>
    <xf numFmtId="4" fontId="0" fillId="9" borderId="25" xfId="0" applyNumberFormat="1" applyFill="1" applyBorder="1" applyAlignment="1">
      <alignment horizontal="center"/>
    </xf>
    <xf numFmtId="0" fontId="61" fillId="2" borderId="34" xfId="17" applyFont="1">
      <alignment vertical="center"/>
    </xf>
    <xf numFmtId="0" fontId="0" fillId="9" borderId="9" xfId="0" applyFill="1" applyBorder="1" applyAlignment="1">
      <alignment horizontal="center"/>
    </xf>
    <xf numFmtId="0" fontId="61" fillId="2" borderId="34" xfId="17" applyFont="1" applyAlignment="1">
      <alignment horizontal="center" vertical="center" wrapText="1"/>
    </xf>
    <xf numFmtId="165" fontId="0" fillId="9" borderId="9" xfId="2" applyNumberFormat="1" applyFont="1" applyFill="1" applyBorder="1" applyAlignment="1">
      <alignment horizontal="center"/>
    </xf>
    <xf numFmtId="2" fontId="0" fillId="9" borderId="0" xfId="0" applyNumberFormat="1" applyFill="1"/>
    <xf numFmtId="4" fontId="0" fillId="13" borderId="4" xfId="0" applyNumberFormat="1" applyFill="1" applyBorder="1" applyAlignment="1">
      <alignment horizontal="center" vertical="center" wrapText="1"/>
    </xf>
    <xf numFmtId="4" fontId="0" fillId="13" borderId="35" xfId="0" applyNumberFormat="1" applyFill="1" applyBorder="1" applyAlignment="1">
      <alignment horizontal="center" vertical="center" wrapText="1"/>
    </xf>
    <xf numFmtId="0" fontId="0" fillId="9" borderId="14" xfId="0" applyFill="1" applyBorder="1" applyAlignment="1">
      <alignment horizontal="left"/>
    </xf>
    <xf numFmtId="171" fontId="33" fillId="3" borderId="9" xfId="1" applyNumberFormat="1" applyFont="1" applyFill="1" applyBorder="1" applyAlignment="1">
      <alignment horizontal="center"/>
    </xf>
    <xf numFmtId="0" fontId="33" fillId="14" borderId="15" xfId="0" applyFont="1" applyFill="1" applyBorder="1" applyAlignment="1">
      <alignment horizontal="center" vertical="top" wrapText="1"/>
    </xf>
    <xf numFmtId="0" fontId="33" fillId="14" borderId="3" xfId="0" applyFont="1" applyFill="1" applyBorder="1" applyAlignment="1">
      <alignment horizontal="center" vertical="top" wrapText="1"/>
    </xf>
    <xf numFmtId="0" fontId="33" fillId="14" borderId="6" xfId="0" applyFont="1" applyFill="1" applyBorder="1" applyAlignment="1">
      <alignment horizontal="center" vertical="top" wrapText="1"/>
    </xf>
    <xf numFmtId="0" fontId="33" fillId="3" borderId="15" xfId="0" applyFont="1" applyFill="1" applyBorder="1" applyAlignment="1">
      <alignment horizontal="center" vertical="top" wrapText="1"/>
    </xf>
    <xf numFmtId="0" fontId="33" fillId="3" borderId="3" xfId="0" applyFont="1" applyFill="1" applyBorder="1" applyAlignment="1">
      <alignment horizontal="center" vertical="top" wrapText="1"/>
    </xf>
    <xf numFmtId="0" fontId="33" fillId="3" borderId="6" xfId="0" applyFont="1" applyFill="1" applyBorder="1" applyAlignment="1">
      <alignment horizontal="center" vertical="top" wrapText="1"/>
    </xf>
    <xf numFmtId="10" fontId="33" fillId="6" borderId="1" xfId="2" applyNumberFormat="1" applyFont="1" applyFill="1" applyBorder="1" applyAlignment="1">
      <alignment horizontal="center"/>
    </xf>
    <xf numFmtId="10" fontId="33" fillId="6" borderId="27" xfId="2" applyNumberFormat="1" applyFont="1" applyFill="1" applyBorder="1" applyAlignment="1">
      <alignment horizontal="center"/>
    </xf>
    <xf numFmtId="0" fontId="33" fillId="14" borderId="1" xfId="0" applyFont="1" applyFill="1" applyBorder="1" applyAlignment="1">
      <alignment horizontal="center"/>
    </xf>
    <xf numFmtId="0" fontId="33" fillId="14" borderId="27" xfId="0" applyFont="1" applyFill="1" applyBorder="1" applyAlignment="1">
      <alignment horizontal="center"/>
    </xf>
    <xf numFmtId="0" fontId="33" fillId="14" borderId="2" xfId="0" applyFont="1" applyFill="1" applyBorder="1" applyAlignment="1">
      <alignment horizontal="center"/>
    </xf>
    <xf numFmtId="0" fontId="0" fillId="9" borderId="0" xfId="0" applyFill="1" applyAlignment="1">
      <alignment horizontal="left"/>
    </xf>
    <xf numFmtId="0" fontId="30" fillId="9" borderId="0" xfId="0" applyFont="1" applyFill="1" applyAlignment="1">
      <alignment horizontal="left"/>
    </xf>
    <xf numFmtId="0" fontId="0" fillId="9" borderId="21" xfId="0" applyFill="1" applyBorder="1" applyAlignment="1">
      <alignment horizontal="left"/>
    </xf>
    <xf numFmtId="0" fontId="11" fillId="9" borderId="36" xfId="0" applyFont="1" applyFill="1" applyBorder="1" applyAlignment="1">
      <alignment horizontal="center" vertical="center" textRotation="90"/>
    </xf>
    <xf numFmtId="0" fontId="11" fillId="9" borderId="37" xfId="0" applyFont="1" applyFill="1" applyBorder="1" applyAlignment="1">
      <alignment horizontal="center" vertical="center" textRotation="90"/>
    </xf>
    <xf numFmtId="0" fontId="11" fillId="9" borderId="38" xfId="0" applyFont="1" applyFill="1" applyBorder="1" applyAlignment="1">
      <alignment horizontal="center" vertical="center" textRotation="90"/>
    </xf>
    <xf numFmtId="44" fontId="2" fillId="2" borderId="9" xfId="6" applyNumberFormat="1" applyBorder="1">
      <alignment horizontal="center" vertical="center" wrapText="1"/>
    </xf>
    <xf numFmtId="0" fontId="2" fillId="2" borderId="9" xfId="6" applyBorder="1" applyAlignment="1">
      <alignment horizontal="center" vertical="center"/>
    </xf>
    <xf numFmtId="4" fontId="0" fillId="13" borderId="9" xfId="0" applyNumberFormat="1" applyFill="1" applyBorder="1" applyAlignment="1">
      <alignment horizontal="center"/>
    </xf>
    <xf numFmtId="0" fontId="0" fillId="9" borderId="1" xfId="0" applyFill="1" applyBorder="1" applyAlignment="1">
      <alignment horizontal="left"/>
    </xf>
    <xf numFmtId="0" fontId="0" fillId="9" borderId="2" xfId="0" applyFill="1" applyBorder="1" applyAlignment="1">
      <alignment horizontal="left"/>
    </xf>
    <xf numFmtId="0" fontId="39" fillId="9" borderId="8" xfId="15" applyFont="1" applyFill="1" applyBorder="1" applyAlignment="1">
      <alignment horizontal="left" wrapText="1"/>
    </xf>
    <xf numFmtId="0" fontId="39" fillId="9" borderId="0" xfId="15" applyFont="1" applyFill="1" applyBorder="1" applyAlignment="1">
      <alignment horizontal="left" wrapText="1"/>
    </xf>
    <xf numFmtId="0" fontId="4" fillId="15" borderId="15" xfId="0" applyFont="1" applyFill="1" applyBorder="1" applyAlignment="1">
      <alignment horizontal="center" wrapText="1"/>
    </xf>
    <xf numFmtId="0" fontId="4" fillId="15" borderId="3" xfId="0" applyFont="1" applyFill="1" applyBorder="1" applyAlignment="1">
      <alignment horizontal="center" wrapText="1"/>
    </xf>
    <xf numFmtId="0" fontId="4" fillId="15" borderId="6" xfId="0" applyFont="1" applyFill="1" applyBorder="1" applyAlignment="1">
      <alignment horizontal="center" wrapText="1"/>
    </xf>
    <xf numFmtId="10" fontId="33" fillId="3" borderId="1" xfId="2" applyNumberFormat="1" applyFont="1" applyFill="1" applyBorder="1" applyAlignment="1">
      <alignment horizontal="center"/>
    </xf>
    <xf numFmtId="10" fontId="33" fillId="3" borderId="27" xfId="2" applyNumberFormat="1" applyFont="1" applyFill="1" applyBorder="1" applyAlignment="1">
      <alignment horizontal="center"/>
    </xf>
    <xf numFmtId="10" fontId="33" fillId="3" borderId="2" xfId="2" applyNumberFormat="1" applyFont="1" applyFill="1" applyBorder="1" applyAlignment="1">
      <alignment horizontal="center"/>
    </xf>
    <xf numFmtId="0" fontId="0" fillId="14" borderId="1" xfId="0" applyFill="1" applyBorder="1" applyAlignment="1">
      <alignment horizontal="center"/>
    </xf>
    <xf numFmtId="0" fontId="0" fillId="14" borderId="27" xfId="0" applyFill="1" applyBorder="1" applyAlignment="1">
      <alignment horizontal="center"/>
    </xf>
    <xf numFmtId="0" fontId="0" fillId="14" borderId="2" xfId="0" applyFill="1" applyBorder="1" applyAlignment="1">
      <alignment horizontal="center"/>
    </xf>
    <xf numFmtId="0" fontId="0" fillId="0" borderId="9" xfId="0" applyBorder="1" applyAlignment="1">
      <alignment horizontal="center" vertical="center"/>
    </xf>
    <xf numFmtId="0" fontId="3" fillId="0" borderId="9" xfId="13" applyBorder="1" applyAlignment="1">
      <alignment horizontal="center" vertical="center"/>
    </xf>
  </cellXfs>
  <cellStyles count="46">
    <cellStyle name="Bad 2" xfId="31" xr:uid="{D0B05FA5-3C28-4728-9054-3982736AEF3C}"/>
    <cellStyle name="Calculation 2" xfId="35" xr:uid="{381A12AA-D971-49A7-B613-A3B02EFE4CF9}"/>
    <cellStyle name="Calculation with Different Formula" xfId="44" xr:uid="{40BCE340-A679-4FCE-888D-D5D1967C57BF}"/>
    <cellStyle name="Check Cell 2" xfId="37" xr:uid="{A29AF5A1-F83E-43CA-85A7-21DF4954C564}"/>
    <cellStyle name="Comma" xfId="1" builtinId="3"/>
    <cellStyle name="Comma 18" xfId="14" xr:uid="{A81BAAF4-169A-9B43-A56D-ACE2BA05037E}"/>
    <cellStyle name="Comma 2" xfId="10" xr:uid="{C5A56A6F-4EDB-43FF-9507-FF2F2E101CF7}"/>
    <cellStyle name="Comma 3" xfId="22" xr:uid="{BF70D331-5432-4CC6-A334-A030E8196D31}"/>
    <cellStyle name="Currency 2" xfId="24" xr:uid="{C29C96CD-60C0-4497-B103-C9133156036B}"/>
    <cellStyle name="Datetime Format" xfId="42" xr:uid="{8AEF6069-AB7A-472B-BDC3-A0F9B4D24686}"/>
    <cellStyle name="Dollars Format" xfId="43" xr:uid="{889C3C68-8E5F-47CA-82CE-6C6ED5EBC1E8}"/>
    <cellStyle name="Dropdown Input" xfId="45" xr:uid="{1678C0FE-9BA1-421E-BBB9-2BED42610F08}"/>
    <cellStyle name="Explanatory Text" xfId="15" builtinId="53"/>
    <cellStyle name="Explanatory Text 2" xfId="40" xr:uid="{40970DC8-D56B-4603-A1A6-F8AB5A0F165B}"/>
    <cellStyle name="Good 2" xfId="30" xr:uid="{768ECDED-2D23-415A-9F25-CB6EF9C443E4}"/>
    <cellStyle name="Heading" xfId="6" xr:uid="{8FE4F839-F6E0-4481-97F9-AE4479C4B020}"/>
    <cellStyle name="Heading 1 2" xfId="26" xr:uid="{162BAC3E-A3F7-413F-92BB-BEE5450D04E6}"/>
    <cellStyle name="Heading 2 2" xfId="27" xr:uid="{980785EF-4618-4F0D-9BF8-EC906EA99782}"/>
    <cellStyle name="Heading 3 2" xfId="28" xr:uid="{88F80014-6B41-4DE4-B71C-C3D50B8875E1}"/>
    <cellStyle name="Heading 4 2" xfId="29" xr:uid="{D045B3D7-1D0D-4A0E-8140-AAA97ADF5534}"/>
    <cellStyle name="Hyperlink" xfId="23" builtinId="8" customBuiltin="1"/>
    <cellStyle name="Input 2" xfId="33" xr:uid="{C847C6A9-D212-454A-A300-ACE554D8AAC6}"/>
    <cellStyle name="Linked Cell 2" xfId="36" xr:uid="{A7737CA1-8691-4606-BD1D-F4CC1BDA97EB}"/>
    <cellStyle name="Neutral 2" xfId="32" xr:uid="{F4204890-F7D7-4763-AB7A-C1AB974E7B96}"/>
    <cellStyle name="Normal" xfId="0" builtinId="0"/>
    <cellStyle name="Normal 2" xfId="13" xr:uid="{FB1CEE69-7BAF-7D47-9F2D-8E78E3AFA7AD}"/>
    <cellStyle name="Normal 3" xfId="16" xr:uid="{634065D0-8B8A-46F1-A563-0D0B700E57A7}"/>
    <cellStyle name="Normal 30 2" xfId="3" xr:uid="{1D73EC0B-FCDA-4753-89A0-7281C6198EBE}"/>
    <cellStyle name="Normal 4" xfId="11" xr:uid="{367C1F84-65B4-4FA6-A5CF-927771A168B1}"/>
    <cellStyle name="Normal 5 2 2" xfId="4" xr:uid="{310F91FA-E449-43C2-9046-45680AC2F8BD}"/>
    <cellStyle name="Note 2" xfId="39" xr:uid="{142A7BD7-E7B3-4B0F-B31F-B832ACB5D677}"/>
    <cellStyle name="Output 2" xfId="34" xr:uid="{FBAF6970-5689-444C-8770-AA57F41BD7DE}"/>
    <cellStyle name="Percent" xfId="2" builtinId="5"/>
    <cellStyle name="Percent 10" xfId="5" xr:uid="{D67E511B-D5A7-4ED6-A7C1-AC682255FCE0}"/>
    <cellStyle name="Percent 2" xfId="8" xr:uid="{BB1DFE22-A831-476C-9194-4342B105A526}"/>
    <cellStyle name="Percent 2 2" xfId="12" xr:uid="{790E68DD-33A8-477D-9A16-AB26A2A029DE}"/>
    <cellStyle name="Percent 3" xfId="21" xr:uid="{B70F04C6-8A8F-4750-8903-908BCB64615B}"/>
    <cellStyle name="Results" xfId="7" xr:uid="{6CC81B00-7DDD-49A1-A4EA-6C64CE2A55EE}"/>
    <cellStyle name="Subtitle" xfId="9" xr:uid="{7D6CFBA2-1B5C-4177-966B-CD9D0517D195}"/>
    <cellStyle name="Table Header" xfId="17" xr:uid="{D0B533DF-DF6A-42DA-B556-09366B825550}"/>
    <cellStyle name="Table Index" xfId="18" xr:uid="{3AB71BB0-8293-4BEA-A833-2130A62DC0FE}"/>
    <cellStyle name="Table Sub-Header" xfId="20" xr:uid="{BCD6836E-5C89-4540-BE6C-C3FFCD9A58AC}"/>
    <cellStyle name="Table Value" xfId="19" xr:uid="{06E90EEA-8EE5-4546-BBF2-9ADCAA7CF9D6}"/>
    <cellStyle name="Title 2" xfId="25" xr:uid="{3CFECD45-FCC5-416E-9949-08D83C32C69C}"/>
    <cellStyle name="Total 2" xfId="41" xr:uid="{36E90834-868B-4236-95D3-70F92B7D6B12}"/>
    <cellStyle name="Warning Text 2" xfId="38" xr:uid="{C2220763-3556-4023-8521-1D54B122A16B}"/>
  </cellStyles>
  <dxfs count="20">
    <dxf>
      <font>
        <b val="0"/>
        <i/>
        <color theme="0"/>
      </font>
      <fill>
        <patternFill>
          <bgColor theme="0"/>
        </patternFill>
      </fill>
      <border>
        <left style="thin">
          <color auto="1"/>
        </left>
        <right/>
        <top/>
        <bottom/>
      </border>
    </dxf>
    <dxf>
      <font>
        <b val="0"/>
        <i/>
        <color theme="0"/>
      </font>
      <fill>
        <patternFill>
          <bgColor theme="0"/>
        </patternFill>
      </fill>
      <border>
        <left/>
        <right/>
        <top/>
        <bottom/>
      </border>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border>
    </dxf>
    <dxf>
      <font>
        <b val="0"/>
        <i/>
        <color theme="0"/>
      </font>
      <fill>
        <patternFill>
          <bgColor theme="0"/>
        </patternFill>
      </fill>
      <border>
        <left/>
        <right/>
        <top style="thin">
          <color auto="1"/>
        </top>
        <bottom/>
      </border>
    </dxf>
    <dxf>
      <font>
        <b val="0"/>
        <i/>
        <color theme="0"/>
      </font>
      <fill>
        <patternFill>
          <bgColor theme="0"/>
        </patternFill>
      </fill>
      <border>
        <left/>
        <right/>
        <top style="thin">
          <color auto="1"/>
        </top>
        <bottom/>
      </border>
    </dxf>
    <dxf>
      <font>
        <b val="0"/>
        <i/>
        <color theme="0"/>
      </font>
      <fill>
        <patternFill>
          <bgColor theme="0"/>
        </patternFill>
      </fill>
      <border>
        <left/>
        <right/>
        <top style="thin">
          <color auto="1"/>
        </top>
        <bottom/>
      </border>
    </dxf>
    <dxf>
      <fill>
        <patternFill>
          <bgColor theme="6" tint="0.79998168889431442"/>
        </patternFill>
      </fill>
    </dxf>
    <dxf>
      <fill>
        <patternFill>
          <bgColor theme="0"/>
        </patternFill>
      </fill>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style="thin">
          <color auto="1"/>
        </bottom>
      </border>
    </dxf>
    <dxf>
      <font>
        <color theme="0"/>
      </font>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style="thin">
          <color auto="1"/>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24CABB7E-512D-42AF-8DD2-0A2C0571540F}">
      <tableStyleElement type="wholeTable" dxfId="19"/>
      <tableStyleElement type="headerRow" dxfId="18"/>
    </tableStyle>
  </tableStyles>
  <colors>
    <mruColors>
      <color rgb="FFFFFF99"/>
      <color rgb="FFCCFFCC"/>
      <color rgb="FF000000"/>
      <color rgb="FF00CC54"/>
      <color rgb="FFE0A000"/>
      <color rgb="FF99CCFF"/>
      <color rgb="FF0000FF"/>
      <color rgb="FF005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7</xdr:col>
      <xdr:colOff>854075</xdr:colOff>
      <xdr:row>0</xdr:row>
      <xdr:rowOff>0</xdr:rowOff>
    </xdr:from>
    <xdr:ext cx="4038601" cy="1149668"/>
    <xdr:pic>
      <xdr:nvPicPr>
        <xdr:cNvPr id="2" name="Picture 1">
          <a:extLst>
            <a:ext uri="{FF2B5EF4-FFF2-40B4-BE49-F238E27FC236}">
              <a16:creationId xmlns:a16="http://schemas.microsoft.com/office/drawing/2014/main" id="{1F49A7F8-D2CE-4803-860A-CAEFEDAF8060}"/>
            </a:ext>
          </a:extLst>
        </xdr:cNvPr>
        <xdr:cNvPicPr>
          <a:picLocks noChangeAspect="1"/>
        </xdr:cNvPicPr>
      </xdr:nvPicPr>
      <xdr:blipFill>
        <a:blip xmlns:r="http://schemas.openxmlformats.org/officeDocument/2006/relationships" r:embed="rId1"/>
        <a:stretch>
          <a:fillRect/>
        </a:stretch>
      </xdr:blipFill>
      <xdr:spPr>
        <a:xfrm>
          <a:off x="8836025" y="0"/>
          <a:ext cx="4041776" cy="116554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hreesf-my.sharepoint.com/Sffs01/rv%20team/Link%20Busta%20(DO%20NOT%20DELETE%20THIS%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hreesf-my.sharepoint.com/sites/CPUC_IDER/Shared%20Documents/ACC%20Development/ACC%20Revisions%20for%20CPUC/2020%20ACC%20Electric%20Model%20v1b.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hreesf-my.sharepoint.com/M:/USERS/EMosley/General%20Marketing/Bloomberg%20One%20Pa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nk Busta (DO NOT DELETE THIS "/>
      <sheetName val="Traffic_Rev"/>
      <sheetName val="RTL-IP-Dep-FA"/>
      <sheetName val="IA - Summary"/>
      <sheetName val="Assumptions"/>
      <sheetName val="#REF"/>
      <sheetName val="IPRD"/>
      <sheetName val="Inventec"/>
      <sheetName val="Broadcom"/>
      <sheetName val="VARS"/>
      <sheetName val="7 Qtr (1Q00-3Q01)"/>
      <sheetName val="Cap-FA"/>
      <sheetName val="Assumptions and Inputs"/>
      <sheetName val="Summary"/>
      <sheetName val="Risk Data"/>
      <sheetName val="Bal Sht 9-30-01"/>
      <sheetName val="Do not use"/>
      <sheetName val="LOH0197"/>
      <sheetName val="CAPITAL"/>
      <sheetName val="CAPMIP"/>
      <sheetName val="Input1"/>
      <sheetName val="Input2"/>
      <sheetName val="EPG"/>
      <sheetName val="Music"/>
      <sheetName val="Shopping"/>
      <sheetName val="Weather"/>
      <sheetName val="Banking"/>
      <sheetName val="Cost to Customer"/>
      <sheetName val="2001"/>
      <sheetName val="Q3"/>
      <sheetName val="Q4"/>
      <sheetName val="Projections 2"/>
      <sheetName val="Inputs"/>
      <sheetName val="key_inputs"/>
      <sheetName val="Proj. Financials"/>
      <sheetName val="KeyMultInputs"/>
      <sheetName val="Attrition"/>
      <sheetName val="Iowa Curves"/>
      <sheetName val="Historical"/>
      <sheetName val="Mult-3yr"/>
      <sheetName val="WP_Hist ABC"/>
      <sheetName val="Exb II.1_Summary Taira"/>
      <sheetName val="Detail Schedules"/>
      <sheetName val="Forecast"/>
      <sheetName val="Jobs"/>
      <sheetName val="dom-salaries"/>
      <sheetName val="Trends &amp; Rates"/>
      <sheetName val="Deferred Maint - old"/>
      <sheetName val="Deferred Add"/>
      <sheetName val="Existing"/>
      <sheetName val="INPUT"/>
      <sheetName val="DCF"/>
      <sheetName val="Historical IS"/>
      <sheetName val="LCO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Viewer"/>
      <sheetName val="Detailed Output"/>
      <sheetName val="IRP Inputs"/>
      <sheetName val="Emissions"/>
      <sheetName val="Energy"/>
      <sheetName val="Generation Capacity"/>
      <sheetName val="Distribution"/>
      <sheetName val="Transmission"/>
      <sheetName val="AS Procurement"/>
      <sheetName val="Losses"/>
      <sheetName val="Methane Leakage"/>
      <sheetName val="Refrigerant Leakage"/>
      <sheetName val="Refrigerant GWPs"/>
      <sheetName val="References"/>
      <sheetName val="Dropdowns"/>
      <sheetName val="Change Log"/>
      <sheetName val="DR Outputs"/>
    </sheetNames>
    <sheetDataSet>
      <sheetData sheetId="0" refreshError="1"/>
      <sheetData sheetId="1">
        <row r="7">
          <cell r="G7">
            <v>2020</v>
          </cell>
        </row>
        <row r="11">
          <cell r="G11">
            <v>7.6799999999999993E-2</v>
          </cell>
        </row>
      </sheetData>
      <sheetData sheetId="2" refreshError="1"/>
      <sheetData sheetId="3">
        <row r="4">
          <cell r="C4">
            <v>2.1999999999999999E-2</v>
          </cell>
        </row>
        <row r="8">
          <cell r="C8">
            <v>7.6799999999999993E-2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ow r="3">
          <cell r="J3" t="str">
            <v>CZ12</v>
          </cell>
          <cell r="K3">
            <v>13</v>
          </cell>
          <cell r="P3">
            <v>1</v>
          </cell>
        </row>
        <row r="5">
          <cell r="I5" t="str">
            <v>PG&amp;E</v>
          </cell>
        </row>
        <row r="8">
          <cell r="E8">
            <v>2019</v>
          </cell>
        </row>
        <row r="9">
          <cell r="E9">
            <v>2050</v>
          </cell>
        </row>
        <row r="14">
          <cell r="W14" t="str">
            <v>NP15</v>
          </cell>
        </row>
      </sheetData>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Pager"/>
      <sheetName val="1st Bond"/>
      <sheetName val="2nd Bond"/>
      <sheetName val="3rd Bond"/>
      <sheetName val="Quote"/>
    </sheetNames>
    <sheetDataSet>
      <sheetData sheetId="0" refreshError="1">
        <row r="2">
          <cell r="A2" t="str">
            <v>One New Orchard Road, Armonk, NY 10504, United States</v>
          </cell>
          <cell r="G2" t="str">
            <v>N.A.</v>
          </cell>
          <cell r="I2" t="str">
            <v>914-499-1900</v>
          </cell>
        </row>
        <row r="3">
          <cell r="Q3" t="str">
            <v>One New Orchard Road</v>
          </cell>
        </row>
        <row r="5">
          <cell r="A5" t="str">
            <v>Description</v>
          </cell>
        </row>
        <row r="6">
          <cell r="A6" t="str">
            <v>International Business Machines Corporation (IBM) provides customer solutions</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E3">
      <a:dk1>
        <a:sysClr val="windowText" lastClr="000000"/>
      </a:dk1>
      <a:lt1>
        <a:sysClr val="window" lastClr="FFFFFF"/>
      </a:lt1>
      <a:dk2>
        <a:srgbClr val="315361"/>
      </a:dk2>
      <a:lt2>
        <a:srgbClr val="EEECE1"/>
      </a:lt2>
      <a:accent1>
        <a:srgbClr val="034E6E"/>
      </a:accent1>
      <a:accent2>
        <a:srgbClr val="AF7E00"/>
      </a:accent2>
      <a:accent3>
        <a:srgbClr val="AF2200"/>
      </a:accent3>
      <a:accent4>
        <a:srgbClr val="007E33"/>
      </a:accent4>
      <a:accent5>
        <a:srgbClr val="AF5D00"/>
      </a:accent5>
      <a:accent6>
        <a:srgbClr val="0A1978"/>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3A43-1FCF-4E52-86E8-578EA7D9ED46}">
  <sheetPr>
    <tabColor theme="7"/>
  </sheetPr>
  <dimension ref="A3:AM132"/>
  <sheetViews>
    <sheetView tabSelected="1" workbookViewId="0">
      <selection activeCell="E123" sqref="E123"/>
    </sheetView>
  </sheetViews>
  <sheetFormatPr defaultColWidth="10.77734375" defaultRowHeight="14.4" x14ac:dyDescent="0.3"/>
  <cols>
    <col min="1" max="1" width="14" style="1" customWidth="1"/>
    <col min="2" max="2" width="6.77734375" style="1" customWidth="1"/>
    <col min="3" max="3" width="83.5546875" style="1" customWidth="1"/>
    <col min="4" max="5" width="17.77734375" style="1" customWidth="1"/>
    <col min="6" max="6" width="14.44140625" style="1" bestFit="1" customWidth="1"/>
    <col min="7" max="7" width="19" style="1" customWidth="1"/>
    <col min="8" max="8" width="17.77734375" style="1" customWidth="1"/>
    <col min="9" max="9" width="13.5546875" style="1" bestFit="1" customWidth="1"/>
    <col min="10" max="10" width="24.21875" style="1" customWidth="1"/>
    <col min="11" max="11" width="28.21875" style="1" customWidth="1"/>
    <col min="12" max="12" width="12.77734375" style="1" customWidth="1"/>
    <col min="13" max="13" width="19.77734375" style="1" customWidth="1"/>
    <col min="14" max="35" width="12.77734375" style="1" customWidth="1"/>
    <col min="36" max="45" width="11.5546875" style="1" bestFit="1" customWidth="1"/>
    <col min="46" max="16384" width="10.77734375" style="1"/>
  </cols>
  <sheetData>
    <row r="3" spans="2:2" ht="31.2" x14ac:dyDescent="0.6">
      <c r="B3" s="65" t="s">
        <v>400</v>
      </c>
    </row>
    <row r="4" spans="2:2" x14ac:dyDescent="0.3">
      <c r="B4" s="1" t="s">
        <v>402</v>
      </c>
    </row>
    <row r="6" spans="2:2" ht="18" x14ac:dyDescent="0.35">
      <c r="B6" s="67" t="s">
        <v>486</v>
      </c>
    </row>
    <row r="7" spans="2:2" x14ac:dyDescent="0.3">
      <c r="B7" s="1" t="s">
        <v>487</v>
      </c>
    </row>
    <row r="8" spans="2:2" x14ac:dyDescent="0.3">
      <c r="B8" s="1" t="s">
        <v>488</v>
      </c>
    </row>
    <row r="9" spans="2:2" x14ac:dyDescent="0.3">
      <c r="B9" s="1" t="s">
        <v>489</v>
      </c>
    </row>
    <row r="10" spans="2:2" x14ac:dyDescent="0.3">
      <c r="B10" s="1" t="s">
        <v>490</v>
      </c>
    </row>
    <row r="12" spans="2:2" x14ac:dyDescent="0.3">
      <c r="B12" s="1" t="s">
        <v>506</v>
      </c>
    </row>
    <row r="13" spans="2:2" x14ac:dyDescent="0.3">
      <c r="B13" s="1" t="s">
        <v>493</v>
      </c>
    </row>
    <row r="14" spans="2:2" x14ac:dyDescent="0.3">
      <c r="B14" s="1" t="s">
        <v>494</v>
      </c>
    </row>
    <row r="15" spans="2:2" x14ac:dyDescent="0.3">
      <c r="B15" s="1" t="s">
        <v>491</v>
      </c>
    </row>
    <row r="17" spans="2:13" x14ac:dyDescent="0.3">
      <c r="B17" s="66" t="s">
        <v>403</v>
      </c>
    </row>
    <row r="18" spans="2:13" x14ac:dyDescent="0.3">
      <c r="B18" s="1" t="s">
        <v>418</v>
      </c>
    </row>
    <row r="19" spans="2:13" x14ac:dyDescent="0.3">
      <c r="B19" s="1" t="s">
        <v>405</v>
      </c>
    </row>
    <row r="20" spans="2:13" ht="15" customHeight="1" x14ac:dyDescent="0.3"/>
    <row r="21" spans="2:13" ht="26.4" thickBot="1" x14ac:dyDescent="0.55000000000000004">
      <c r="C21" s="71" t="s">
        <v>399</v>
      </c>
      <c r="D21" s="71"/>
    </row>
    <row r="22" spans="2:13" ht="12" customHeight="1" x14ac:dyDescent="0.3">
      <c r="B22" s="55"/>
      <c r="C22" s="73"/>
      <c r="D22" s="74"/>
      <c r="E22" s="74"/>
      <c r="F22" s="74"/>
      <c r="G22" s="74"/>
      <c r="H22" s="74"/>
      <c r="I22" s="75"/>
      <c r="J22" s="75"/>
      <c r="K22" s="76"/>
      <c r="M22" s="54" t="s">
        <v>0</v>
      </c>
    </row>
    <row r="23" spans="2:13" ht="21" x14ac:dyDescent="0.3">
      <c r="B23" s="55"/>
      <c r="C23" s="77" t="s">
        <v>396</v>
      </c>
      <c r="D23" s="138"/>
      <c r="E23" s="138"/>
      <c r="F23" s="138"/>
      <c r="G23" s="138"/>
      <c r="H23" s="138"/>
      <c r="J23" s="138" t="s">
        <v>398</v>
      </c>
      <c r="K23" s="78"/>
      <c r="M23" s="116" t="s">
        <v>4</v>
      </c>
    </row>
    <row r="24" spans="2:13" ht="13.05" customHeight="1" x14ac:dyDescent="0.3">
      <c r="B24" s="72"/>
      <c r="C24" s="79"/>
      <c r="E24" s="139"/>
      <c r="F24" s="139"/>
      <c r="H24" s="139"/>
      <c r="K24" s="80"/>
      <c r="M24" s="70" t="s">
        <v>404</v>
      </c>
    </row>
    <row r="25" spans="2:13" ht="15" customHeight="1" x14ac:dyDescent="0.35">
      <c r="B25" s="72"/>
      <c r="C25" s="102"/>
      <c r="D25" s="140"/>
      <c r="E25" s="66"/>
      <c r="F25" s="66"/>
      <c r="G25" s="140"/>
      <c r="H25" s="66"/>
      <c r="J25" s="140" t="str">
        <f>_xlfn.CONCAT("NPV Avoided Costs in Measure Start Year (", 'ACC Inputs'!$G$7, "$)")</f>
        <v>NPV Avoided Costs in Measure Start Year (2022$)</v>
      </c>
      <c r="K25" s="81"/>
      <c r="M25" s="117" t="s">
        <v>1</v>
      </c>
    </row>
    <row r="26" spans="2:13" ht="15" customHeight="1" x14ac:dyDescent="0.3">
      <c r="B26" s="72"/>
      <c r="C26" s="112" t="s">
        <v>421</v>
      </c>
      <c r="D26" s="167" t="s">
        <v>451</v>
      </c>
      <c r="E26" s="168"/>
      <c r="F26" s="168"/>
      <c r="G26" s="168"/>
      <c r="H26" s="169"/>
      <c r="J26" s="155">
        <f>IF(OR(D74="Not Available", G74="Not Available"), "Error: GWP data not available for chosen refrigerant and time horizon combination. See Refrigerant GWPs tab for available refrigerant data.", E132)</f>
        <v>505.29427349341086</v>
      </c>
      <c r="K26" s="156"/>
      <c r="M26" s="118" t="s">
        <v>2</v>
      </c>
    </row>
    <row r="27" spans="2:13" ht="15" customHeight="1" x14ac:dyDescent="0.3">
      <c r="B27" s="72"/>
      <c r="C27" s="113"/>
      <c r="D27" s="141"/>
      <c r="E27" s="66"/>
      <c r="F27" s="66"/>
      <c r="G27" s="141"/>
      <c r="H27" s="66"/>
      <c r="J27" s="132"/>
      <c r="K27" s="142"/>
      <c r="M27" s="119" t="s">
        <v>3</v>
      </c>
    </row>
    <row r="28" spans="2:13" ht="15" customHeight="1" x14ac:dyDescent="0.3">
      <c r="B28" s="72"/>
      <c r="C28" s="113"/>
      <c r="D28" s="141"/>
      <c r="E28" s="66"/>
      <c r="F28" s="66"/>
      <c r="G28" s="141"/>
      <c r="H28" s="66"/>
      <c r="K28" s="80"/>
      <c r="M28" s="183" t="s">
        <v>440</v>
      </c>
    </row>
    <row r="29" spans="2:13" ht="15" customHeight="1" x14ac:dyDescent="0.3">
      <c r="B29" s="72"/>
      <c r="C29" s="113"/>
      <c r="D29" s="171" t="s">
        <v>427</v>
      </c>
      <c r="E29" s="171"/>
      <c r="F29" s="126"/>
      <c r="G29" s="171" t="s">
        <v>428</v>
      </c>
      <c r="H29" s="171"/>
      <c r="K29" s="80"/>
      <c r="M29" s="184"/>
    </row>
    <row r="30" spans="2:13" ht="15" customHeight="1" x14ac:dyDescent="0.35">
      <c r="B30" s="72"/>
      <c r="C30" s="113"/>
      <c r="D30" s="96" t="s">
        <v>424</v>
      </c>
      <c r="E30" s="96" t="s">
        <v>425</v>
      </c>
      <c r="F30" s="66"/>
      <c r="G30" s="96" t="s">
        <v>424</v>
      </c>
      <c r="H30" s="96" t="s">
        <v>425</v>
      </c>
      <c r="J30" s="140"/>
      <c r="K30" s="81"/>
      <c r="M30" s="185"/>
    </row>
    <row r="31" spans="2:13" ht="15" customHeight="1" x14ac:dyDescent="0.35">
      <c r="B31" s="72"/>
      <c r="C31" s="112" t="s">
        <v>507</v>
      </c>
      <c r="D31" s="159" t="s">
        <v>45</v>
      </c>
      <c r="E31" s="159" t="s">
        <v>45</v>
      </c>
      <c r="F31" s="143"/>
      <c r="G31" s="159" t="s">
        <v>45</v>
      </c>
      <c r="H31" s="162" t="str">
        <f>E31</f>
        <v>Residential Heat Pumps</v>
      </c>
      <c r="J31" s="140"/>
      <c r="K31" s="81"/>
    </row>
    <row r="32" spans="2:13" ht="15" customHeight="1" x14ac:dyDescent="0.35">
      <c r="B32" s="72"/>
      <c r="C32" s="112"/>
      <c r="D32" s="160"/>
      <c r="E32" s="160"/>
      <c r="F32" s="143"/>
      <c r="G32" s="160"/>
      <c r="H32" s="163"/>
      <c r="J32" s="140"/>
      <c r="K32" s="81"/>
    </row>
    <row r="33" spans="2:15" ht="15.6" x14ac:dyDescent="0.3">
      <c r="B33" s="2"/>
      <c r="C33" s="112"/>
      <c r="D33" s="160"/>
      <c r="E33" s="160"/>
      <c r="F33" s="143"/>
      <c r="G33" s="160"/>
      <c r="H33" s="163"/>
      <c r="J33" s="140"/>
      <c r="K33" s="80"/>
      <c r="N33" s="93" t="s">
        <v>409</v>
      </c>
      <c r="O33" s="93"/>
    </row>
    <row r="34" spans="2:15" ht="15" customHeight="1" x14ac:dyDescent="0.3">
      <c r="B34" s="2"/>
      <c r="C34" s="114"/>
      <c r="D34" s="160"/>
      <c r="E34" s="160"/>
      <c r="F34" s="143"/>
      <c r="G34" s="160"/>
      <c r="H34" s="163"/>
      <c r="K34" s="80"/>
      <c r="N34" s="93" t="s">
        <v>441</v>
      </c>
    </row>
    <row r="35" spans="2:15" ht="15" customHeight="1" x14ac:dyDescent="0.3">
      <c r="B35" s="2"/>
      <c r="C35" s="114"/>
      <c r="D35" s="161"/>
      <c r="E35" s="161"/>
      <c r="F35" s="143"/>
      <c r="G35" s="161"/>
      <c r="H35" s="164"/>
      <c r="K35" s="80"/>
      <c r="M35" s="93"/>
      <c r="N35" s="93" t="s">
        <v>450</v>
      </c>
    </row>
    <row r="36" spans="2:15" ht="15" customHeight="1" x14ac:dyDescent="0.3">
      <c r="B36" s="2"/>
      <c r="C36" s="114"/>
      <c r="D36" s="141"/>
      <c r="G36" s="141"/>
      <c r="K36" s="80"/>
      <c r="M36" s="93"/>
      <c r="N36" s="93"/>
    </row>
    <row r="37" spans="2:15" ht="15.6" x14ac:dyDescent="0.3">
      <c r="B37" s="2"/>
      <c r="C37" s="112" t="s">
        <v>407</v>
      </c>
      <c r="D37" s="95" t="s">
        <v>409</v>
      </c>
      <c r="E37" s="107" t="s">
        <v>409</v>
      </c>
      <c r="G37" s="95" t="s">
        <v>409</v>
      </c>
      <c r="H37" s="124" t="str">
        <f>E37</f>
        <v>ARB average</v>
      </c>
      <c r="J37" s="140"/>
      <c r="K37" s="80"/>
      <c r="M37" s="93"/>
      <c r="N37" s="93"/>
    </row>
    <row r="38" spans="2:15" x14ac:dyDescent="0.3">
      <c r="C38" s="112" t="s">
        <v>484</v>
      </c>
      <c r="D38" s="69">
        <v>2</v>
      </c>
      <c r="E38" s="108">
        <v>10</v>
      </c>
      <c r="G38" s="69">
        <v>2</v>
      </c>
      <c r="H38" s="94">
        <f>E38</f>
        <v>10</v>
      </c>
      <c r="K38" s="80"/>
      <c r="M38" s="93"/>
      <c r="N38" s="93"/>
    </row>
    <row r="39" spans="2:15" x14ac:dyDescent="0.3">
      <c r="C39" s="112" t="s">
        <v>426</v>
      </c>
      <c r="D39" s="94">
        <f>IF(D37="ARB average",INDEX('Refrigerant Leakage'!$C$2:$C$41,MATCH(D31,'Refrigerant Leakage'!$B$2:$B$41,0)),D38)</f>
        <v>15</v>
      </c>
      <c r="E39" s="109">
        <f>IF($D$26='ACC Inputs'!$B$7, 0, IF(E37="ARB average",INDEX('Refrigerant Leakage'!$C$2:$C$41,MATCH(E31,'Refrigerant Leakage'!$B$2:$B$41,0)),E38))</f>
        <v>0</v>
      </c>
      <c r="G39" s="94">
        <f>IF(G37="ARB average",INDEX('Refrigerant Leakage'!$C$2:$C$41,MATCH(G31,'Refrigerant Leakage'!$B$2:$B$41,0)),G38)</f>
        <v>15</v>
      </c>
      <c r="H39" s="109">
        <f>IF($D$26='ACC Inputs'!$B$7, 0, IF(H37="ARB average",INDEX('Refrigerant Leakage'!$C$2:$C$41,MATCH(H31,'Refrigerant Leakage'!$B$2:$B$41,0)),H38))</f>
        <v>0</v>
      </c>
      <c r="K39" s="80"/>
      <c r="M39" s="93"/>
      <c r="N39" s="93"/>
    </row>
    <row r="40" spans="2:15" ht="15" customHeight="1" x14ac:dyDescent="0.3">
      <c r="C40" s="112"/>
      <c r="K40" s="80"/>
      <c r="M40" s="93"/>
      <c r="N40" s="93"/>
    </row>
    <row r="41" spans="2:15" x14ac:dyDescent="0.3">
      <c r="C41" s="112" t="s">
        <v>385</v>
      </c>
      <c r="D41" s="69">
        <v>2025</v>
      </c>
      <c r="E41" s="108">
        <v>2022</v>
      </c>
      <c r="G41" s="94">
        <f>IF(D26='ACC Inputs'!B7,Dashboard!D41,Dashboard!H42+1)</f>
        <v>2025</v>
      </c>
      <c r="H41" s="94">
        <f>E41</f>
        <v>2022</v>
      </c>
      <c r="K41" s="80"/>
      <c r="M41" s="93"/>
      <c r="N41" s="93"/>
    </row>
    <row r="42" spans="2:15" ht="15" customHeight="1" x14ac:dyDescent="0.3">
      <c r="C42" s="115" t="s">
        <v>434</v>
      </c>
      <c r="D42" s="94">
        <f>D41+D39 -1</f>
        <v>2039</v>
      </c>
      <c r="E42" s="94">
        <f>IF(AND($D$26="Accelerated Replacement", D41&lt;(E41+E39-1)), Dashboard!D41-1, E41+E39-1)</f>
        <v>2021</v>
      </c>
      <c r="G42" s="94">
        <f>G41+G39-1</f>
        <v>2039</v>
      </c>
      <c r="H42" s="94">
        <f>H41+H39-1</f>
        <v>2021</v>
      </c>
      <c r="K42" s="80"/>
      <c r="M42" s="93"/>
      <c r="N42" s="93"/>
    </row>
    <row r="43" spans="2:15" ht="15" customHeight="1" x14ac:dyDescent="0.3">
      <c r="C43" s="115" t="s">
        <v>435</v>
      </c>
      <c r="D43" s="94">
        <f>(D41+D39 -1)-D42</f>
        <v>0</v>
      </c>
      <c r="E43" s="109">
        <f>IF(D26='ACC Inputs'!$B$7, 0, (E41+E39 -1)-E42)</f>
        <v>0</v>
      </c>
      <c r="G43" s="94">
        <f>(G41+G39-1)-G42</f>
        <v>0</v>
      </c>
      <c r="H43" s="109">
        <f>IF(D26='ACC Inputs'!$B$7, 0, (H41+H39 -1)-H42)</f>
        <v>0</v>
      </c>
      <c r="K43" s="80"/>
      <c r="M43" s="93"/>
      <c r="N43" s="93"/>
    </row>
    <row r="44" spans="2:15" ht="15" customHeight="1" x14ac:dyDescent="0.3">
      <c r="C44" s="112"/>
      <c r="D44" s="140"/>
      <c r="G44" s="140"/>
      <c r="K44" s="80"/>
      <c r="N44" s="93"/>
      <c r="O44" s="93"/>
    </row>
    <row r="45" spans="2:15" x14ac:dyDescent="0.3">
      <c r="C45" s="112" t="s">
        <v>408</v>
      </c>
      <c r="D45" s="95" t="s">
        <v>409</v>
      </c>
      <c r="E45" s="107" t="s">
        <v>409</v>
      </c>
      <c r="F45" s="98"/>
      <c r="G45" s="95" t="s">
        <v>409</v>
      </c>
      <c r="H45" s="124" t="str">
        <f>E45</f>
        <v>ARB average</v>
      </c>
      <c r="K45" s="80"/>
      <c r="N45" s="93"/>
      <c r="O45" s="93"/>
    </row>
    <row r="46" spans="2:15" x14ac:dyDescent="0.3">
      <c r="C46" s="112" t="s">
        <v>483</v>
      </c>
      <c r="D46" s="69">
        <v>7.5</v>
      </c>
      <c r="E46" s="69">
        <v>7.5</v>
      </c>
      <c r="G46" s="69">
        <v>7.5</v>
      </c>
      <c r="H46" s="94">
        <f>E46</f>
        <v>7.5</v>
      </c>
      <c r="K46" s="80"/>
      <c r="N46" s="93"/>
      <c r="O46" s="93"/>
    </row>
    <row r="47" spans="2:15" x14ac:dyDescent="0.3">
      <c r="C47" s="112" t="s">
        <v>411</v>
      </c>
      <c r="D47" s="94">
        <f>IF(D45="ARB average",INDEX('Refrigerant Leakage'!$D$2:$D$41,MATCH(D31,'Refrigerant Leakage'!$B$2:$B$41,0)),D46)</f>
        <v>8.1999999999999993</v>
      </c>
      <c r="E47" s="109">
        <f>IF(E45="ARB average",INDEX('Refrigerant Leakage'!$D$2:$D$41,MATCH(E31,'Refrigerant Leakage'!$B$2:$B$41,0)),E46)</f>
        <v>8.1999999999999993</v>
      </c>
      <c r="G47" s="94">
        <f>IF(G45="ARB average",INDEX('Refrigerant Leakage'!$D$2:$D$41,MATCH(G31,'Refrigerant Leakage'!$B$2:$B$41,0)),G46)</f>
        <v>8.1999999999999993</v>
      </c>
      <c r="H47" s="94">
        <f>E47</f>
        <v>8.1999999999999993</v>
      </c>
      <c r="K47" s="80"/>
      <c r="N47" s="93"/>
      <c r="O47" s="93" t="s">
        <v>414</v>
      </c>
    </row>
    <row r="48" spans="2:15" ht="15" customHeight="1" x14ac:dyDescent="0.3">
      <c r="C48" s="114"/>
      <c r="D48" s="140"/>
      <c r="G48" s="140"/>
      <c r="K48" s="80"/>
      <c r="N48" s="93"/>
      <c r="O48" s="93" t="s">
        <v>412</v>
      </c>
    </row>
    <row r="49" spans="3:15" x14ac:dyDescent="0.3">
      <c r="C49" s="112" t="s">
        <v>508</v>
      </c>
      <c r="D49" s="136" t="s">
        <v>117</v>
      </c>
      <c r="E49" s="137" t="s">
        <v>370</v>
      </c>
      <c r="G49" s="136" t="s">
        <v>232</v>
      </c>
      <c r="H49" s="94" t="str">
        <f>E49</f>
        <v>THR-03</v>
      </c>
      <c r="K49" s="80"/>
      <c r="N49" s="93"/>
      <c r="O49" s="93" t="s">
        <v>413</v>
      </c>
    </row>
    <row r="50" spans="3:15" ht="15" customHeight="1" x14ac:dyDescent="0.3">
      <c r="C50" s="115" t="s">
        <v>485</v>
      </c>
      <c r="D50" s="69">
        <v>675</v>
      </c>
      <c r="E50" s="69">
        <v>1000</v>
      </c>
      <c r="G50" s="69">
        <v>675</v>
      </c>
      <c r="H50" s="94">
        <f>E50</f>
        <v>1000</v>
      </c>
      <c r="K50" s="80"/>
      <c r="N50" s="93"/>
      <c r="O50" s="93" t="s">
        <v>410</v>
      </c>
    </row>
    <row r="51" spans="3:15" ht="15" customHeight="1" x14ac:dyDescent="0.3">
      <c r="C51" s="114"/>
      <c r="D51" s="140"/>
      <c r="G51" s="140"/>
      <c r="K51" s="80"/>
      <c r="N51" s="93"/>
      <c r="O51" s="93"/>
    </row>
    <row r="52" spans="3:15" ht="15" customHeight="1" x14ac:dyDescent="0.3">
      <c r="C52" s="114"/>
      <c r="D52" s="140"/>
      <c r="G52" s="140"/>
      <c r="K52" s="80"/>
      <c r="N52" s="93"/>
      <c r="O52" s="93"/>
    </row>
    <row r="53" spans="3:15" ht="15" customHeight="1" x14ac:dyDescent="0.3">
      <c r="C53" s="115" t="s">
        <v>430</v>
      </c>
      <c r="D53" s="158">
        <f>D41</f>
        <v>2025</v>
      </c>
      <c r="E53" s="158"/>
      <c r="F53" s="158"/>
      <c r="G53" s="158"/>
      <c r="H53" s="158"/>
      <c r="K53" s="80"/>
      <c r="N53" s="93"/>
      <c r="O53" s="93"/>
    </row>
    <row r="54" spans="3:15" ht="15" customHeight="1" x14ac:dyDescent="0.3">
      <c r="C54" s="115" t="s">
        <v>431</v>
      </c>
      <c r="D54" s="158">
        <f>$D$42</f>
        <v>2039</v>
      </c>
      <c r="E54" s="158"/>
      <c r="F54" s="158"/>
      <c r="G54" s="158"/>
      <c r="H54" s="158"/>
      <c r="K54" s="80"/>
      <c r="N54" s="93"/>
      <c r="O54" s="93"/>
    </row>
    <row r="55" spans="3:15" ht="15" customHeight="1" x14ac:dyDescent="0.3">
      <c r="C55" s="114"/>
      <c r="D55" s="141"/>
      <c r="G55" s="141"/>
      <c r="K55" s="80"/>
      <c r="N55" s="93"/>
      <c r="O55" s="93"/>
    </row>
    <row r="56" spans="3:15" x14ac:dyDescent="0.3">
      <c r="C56" s="112" t="s">
        <v>415</v>
      </c>
      <c r="D56" s="167" t="s">
        <v>414</v>
      </c>
      <c r="E56" s="168"/>
      <c r="F56" s="168"/>
      <c r="G56" s="168"/>
      <c r="H56" s="169"/>
      <c r="K56" s="80"/>
      <c r="N56" s="93"/>
      <c r="O56" s="93"/>
    </row>
    <row r="57" spans="3:15" x14ac:dyDescent="0.3">
      <c r="C57" s="112" t="s">
        <v>416</v>
      </c>
      <c r="D57" s="165">
        <v>0.1</v>
      </c>
      <c r="E57" s="166"/>
      <c r="F57" s="166"/>
      <c r="G57" s="166"/>
      <c r="H57" s="166"/>
      <c r="K57" s="80"/>
      <c r="N57" s="93"/>
      <c r="O57" s="93"/>
    </row>
    <row r="58" spans="3:15" x14ac:dyDescent="0.3">
      <c r="C58" s="112" t="s">
        <v>417</v>
      </c>
      <c r="D58" s="186">
        <f>IF(D56&lt;&gt;"User-specified",INDEX('ACC Inputs'!$E$7:$E$9,MATCH(D56,'ACC Inputs'!$D$7:$D$9,0)),D57)</f>
        <v>7.3400000000000007E-2</v>
      </c>
      <c r="E58" s="187"/>
      <c r="F58" s="187"/>
      <c r="G58" s="187"/>
      <c r="H58" s="188"/>
      <c r="K58" s="80"/>
    </row>
    <row r="59" spans="3:15" ht="15" customHeight="1" x14ac:dyDescent="0.3">
      <c r="C59" s="114"/>
      <c r="D59" s="140"/>
      <c r="G59" s="140"/>
      <c r="K59" s="80"/>
    </row>
    <row r="60" spans="3:15" x14ac:dyDescent="0.3">
      <c r="C60" s="112" t="s">
        <v>419</v>
      </c>
      <c r="D60" s="189" t="s">
        <v>420</v>
      </c>
      <c r="E60" s="190"/>
      <c r="F60" s="190"/>
      <c r="G60" s="190"/>
      <c r="H60" s="191"/>
      <c r="K60" s="80"/>
    </row>
    <row r="61" spans="3:15" ht="15" thickBot="1" x14ac:dyDescent="0.35">
      <c r="C61" s="82"/>
      <c r="D61" s="83"/>
      <c r="E61" s="83"/>
      <c r="F61" s="83"/>
      <c r="G61" s="83"/>
      <c r="H61" s="83"/>
      <c r="I61" s="83"/>
      <c r="J61" s="83"/>
      <c r="K61" s="84"/>
    </row>
    <row r="62" spans="3:15" ht="15" customHeight="1" x14ac:dyDescent="0.3"/>
    <row r="63" spans="3:15" ht="15" customHeight="1" x14ac:dyDescent="0.3">
      <c r="F63" s="121"/>
    </row>
    <row r="64" spans="3:15" ht="23.4" x14ac:dyDescent="0.45">
      <c r="C64" s="68" t="s">
        <v>401</v>
      </c>
      <c r="D64" s="68"/>
      <c r="E64"/>
      <c r="F64" s="121"/>
      <c r="O64" s="62"/>
    </row>
    <row r="65" spans="3:39" x14ac:dyDescent="0.3">
      <c r="O65" s="61"/>
    </row>
    <row r="66" spans="3:39" x14ac:dyDescent="0.3">
      <c r="O66" s="61"/>
    </row>
    <row r="67" spans="3:39" x14ac:dyDescent="0.3">
      <c r="D67" s="66" t="s">
        <v>427</v>
      </c>
      <c r="E67" s="66"/>
      <c r="G67" s="66" t="s">
        <v>428</v>
      </c>
      <c r="H67" s="66"/>
      <c r="K67" s="101" t="s">
        <v>380</v>
      </c>
      <c r="L67" s="101"/>
      <c r="M67" s="101"/>
      <c r="O67" s="61"/>
    </row>
    <row r="68" spans="3:39" x14ac:dyDescent="0.3">
      <c r="C68" s="100" t="s">
        <v>397</v>
      </c>
      <c r="D68" s="120" t="s">
        <v>424</v>
      </c>
      <c r="E68" s="66" t="s">
        <v>425</v>
      </c>
      <c r="G68" s="120" t="s">
        <v>424</v>
      </c>
      <c r="H68" s="66" t="s">
        <v>425</v>
      </c>
      <c r="L68" s="1">
        <v>2204.62</v>
      </c>
      <c r="M68" s="1" t="s">
        <v>381</v>
      </c>
    </row>
    <row r="69" spans="3:39" x14ac:dyDescent="0.3">
      <c r="C69" s="91" t="s">
        <v>389</v>
      </c>
      <c r="D69" s="85">
        <f>D41</f>
        <v>2025</v>
      </c>
      <c r="E69" s="85">
        <f>E41</f>
        <v>2022</v>
      </c>
      <c r="G69" s="85">
        <f>G41</f>
        <v>2025</v>
      </c>
      <c r="H69" s="85">
        <f>H41</f>
        <v>2022</v>
      </c>
      <c r="K69" s="90" t="s">
        <v>382</v>
      </c>
      <c r="L69" s="1">
        <v>1</v>
      </c>
      <c r="M69" s="1" t="s">
        <v>383</v>
      </c>
    </row>
    <row r="70" spans="3:39" x14ac:dyDescent="0.3">
      <c r="C70" s="91" t="s">
        <v>387</v>
      </c>
      <c r="D70" s="85">
        <f>D42</f>
        <v>2039</v>
      </c>
      <c r="E70" s="85">
        <f>E42</f>
        <v>2021</v>
      </c>
      <c r="G70" s="85">
        <f>G42</f>
        <v>2039</v>
      </c>
      <c r="H70" s="85">
        <f>H42</f>
        <v>2021</v>
      </c>
    </row>
    <row r="71" spans="3:39" x14ac:dyDescent="0.3">
      <c r="C71" s="91" t="s">
        <v>445</v>
      </c>
      <c r="D71" s="123">
        <f>MAX((1+ MIN(D42,$D$54) - MAX(D41,$D$53)),0)</f>
        <v>15</v>
      </c>
      <c r="E71" s="123">
        <f>MAX((1+ MIN(E42,$D$54) - MAX(E41,$D$53)),0)</f>
        <v>0</v>
      </c>
      <c r="G71" s="123">
        <f>MAX((1+ MIN(G42,$D$54) - MAX(G41,$D$53)),0)</f>
        <v>15</v>
      </c>
      <c r="H71" s="123">
        <f>MAX((1+ MIN(H42,$D$54) - MAX(H41,$D$53)),0)</f>
        <v>0</v>
      </c>
    </row>
    <row r="72" spans="3:39" x14ac:dyDescent="0.3">
      <c r="C72" s="91" t="s">
        <v>436</v>
      </c>
      <c r="D72" s="105">
        <f xml:space="preserve"> IF(D71=0, 0, D71/D39)</f>
        <v>1</v>
      </c>
      <c r="E72" s="105">
        <f xml:space="preserve"> IF(E71=0, 0, E71/E39)</f>
        <v>0</v>
      </c>
      <c r="G72" s="105">
        <f xml:space="preserve"> IF(G71=0, 0, G71/G39)</f>
        <v>1</v>
      </c>
      <c r="H72" s="105">
        <f xml:space="preserve"> IF(H71=0, 0, H71/H39)</f>
        <v>0</v>
      </c>
    </row>
    <row r="73" spans="3:39" x14ac:dyDescent="0.3">
      <c r="C73" s="91" t="s">
        <v>437</v>
      </c>
      <c r="D73" s="105">
        <f>IF(D39=0, 0, D43/D39)</f>
        <v>0</v>
      </c>
      <c r="E73" s="105">
        <f>IF(E39=0, 0, E43/E39)</f>
        <v>0</v>
      </c>
      <c r="G73" s="105">
        <f>IF(G39=0, 0,G43/G39)</f>
        <v>0</v>
      </c>
      <c r="H73" s="105">
        <f>IF(H39=0, 0,H43/H39)</f>
        <v>0</v>
      </c>
    </row>
    <row r="74" spans="3:39" x14ac:dyDescent="0.3">
      <c r="C74" s="91" t="s">
        <v>388</v>
      </c>
      <c r="D74" s="86">
        <f>IF(D49="User Specified", D50, INDEX('Refrigerant GWPs'!$G$2:$G$154,MATCH(Dashboard!D$49,'Refrigerant GWPs'!$A$2:$A$154,0)))</f>
        <v>1430</v>
      </c>
      <c r="E74" s="86">
        <f>IF(E49="User Specified", E50, INDEX('Refrigerant GWPs'!$G$2:$G$154,MATCH(Dashboard!E$49,'Refrigerant GWPs'!$A$2:$A$154,0)))</f>
        <v>954</v>
      </c>
      <c r="G74" s="86">
        <f>IF(G49="User Specified", G50, INDEX('Refrigerant GWPs'!$G$2:$G$154,MATCH(Dashboard!G$49,'Refrigerant GWPs'!$A$2:$A$154,0)))</f>
        <v>2087.5</v>
      </c>
      <c r="H74" s="86">
        <f>IF(H49="User Specified", H50, INDEX('Refrigerant GWPs'!$G$2:$G$154,MATCH(Dashboard!H$49,'Refrigerant GWPs'!$A$2:$A$154,0)))</f>
        <v>954</v>
      </c>
    </row>
    <row r="75" spans="3:39" x14ac:dyDescent="0.3">
      <c r="C75" s="92" t="s">
        <v>392</v>
      </c>
      <c r="D75" s="87">
        <f>INDEX('Refrigerant Leakage'!$E$2:$E$41,MATCH(Dashboard!$D$31,'Refrigerant Leakage'!$B$2:$B$41,0))</f>
        <v>5.2999999999999999E-2</v>
      </c>
      <c r="E75" s="87">
        <f>INDEX('Refrigerant Leakage'!$E$2:$E$41,MATCH(Dashboard!$E$31,'Refrigerant Leakage'!$B$2:$B$41,0))</f>
        <v>5.2999999999999999E-2</v>
      </c>
      <c r="G75" s="87">
        <f>INDEX('Refrigerant Leakage'!$E$2:$E$41,MATCH(Dashboard!$G$31,'Refrigerant Leakage'!$B$2:$B$41,0))</f>
        <v>5.2999999999999999E-2</v>
      </c>
      <c r="H75" s="87">
        <f>INDEX('Refrigerant Leakage'!$E$2:$E$41,MATCH(Dashboard!$H$31,'Refrigerant Leakage'!$B$2:$B$41,0))</f>
        <v>5.2999999999999999E-2</v>
      </c>
    </row>
    <row r="76" spans="3:39" x14ac:dyDescent="0.3">
      <c r="C76" s="91" t="s">
        <v>393</v>
      </c>
      <c r="D76" s="87">
        <f>INDEX('Refrigerant Leakage'!$F$2:$F$41,MATCH(Dashboard!D31,'Refrigerant Leakage'!$B$2:$B$41,0))</f>
        <v>0.8</v>
      </c>
      <c r="E76" s="87">
        <f>INDEX('Refrigerant Leakage'!$F$2:$F$41,MATCH(Dashboard!E31,'Refrigerant Leakage'!$B$2:$B$41,0))</f>
        <v>0.8</v>
      </c>
      <c r="G76" s="87">
        <f>INDEX('Refrigerant Leakage'!$F$2:$F$41,MATCH(Dashboard!G31,'Refrigerant Leakage'!$B$2:$B$41,0))</f>
        <v>0.8</v>
      </c>
      <c r="H76" s="87">
        <f>INDEX('Refrigerant Leakage'!$F$2:$F$41,MATCH(Dashboard!H31,'Refrigerant Leakage'!$B$2:$B$41,0))</f>
        <v>0.8</v>
      </c>
    </row>
    <row r="77" spans="3:39" x14ac:dyDescent="0.3">
      <c r="C77" s="91" t="s">
        <v>394</v>
      </c>
      <c r="D77" s="88">
        <f>INDEX('Refrigerant Leakage'!$G$2:$G$41,MATCH(Dashboard!D31,'Refrigerant Leakage'!$B$2:$B$41,0))</f>
        <v>3</v>
      </c>
      <c r="E77" s="88">
        <f>INDEX('Refrigerant Leakage'!$G$2:$G$41,MATCH(Dashboard!E31,'Refrigerant Leakage'!$B$2:$B$41,0))</f>
        <v>3</v>
      </c>
      <c r="G77" s="88">
        <f>INDEX('Refrigerant Leakage'!$G$2:$G$41,MATCH(Dashboard!G31,'Refrigerant Leakage'!$B$2:$B$41,0))</f>
        <v>3</v>
      </c>
      <c r="H77" s="88">
        <f>INDEX('Refrigerant Leakage'!$G$2:$G$41,MATCH(Dashboard!H31,'Refrigerant Leakage'!$B$2:$B$41,0))</f>
        <v>3</v>
      </c>
    </row>
    <row r="78" spans="3:39" x14ac:dyDescent="0.3">
      <c r="C78" s="91" t="s">
        <v>390</v>
      </c>
      <c r="D78" s="89">
        <f>D47*D75/$L$68*D74</f>
        <v>0.28189801417024246</v>
      </c>
      <c r="E78" s="89">
        <f>IF($D$26='ACC Inputs'!$B$7, 0, E47*E75/$L$68*E74)</f>
        <v>0</v>
      </c>
      <c r="G78" s="89">
        <f>G47*G75/$L$68*G74</f>
        <v>0.41151196124502182</v>
      </c>
      <c r="H78" s="89">
        <f>IF($D$26='ACC Inputs'!$B$7, 0, H47*H75/$L$68*H74)</f>
        <v>0</v>
      </c>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row>
    <row r="79" spans="3:39" ht="15" customHeight="1" x14ac:dyDescent="0.3">
      <c r="C79" s="91" t="s">
        <v>391</v>
      </c>
      <c r="D79" s="89">
        <f>(D47-D47*D75*D77)*D76/$L$68*D74</f>
        <v>3.5785091308252674</v>
      </c>
      <c r="E79" s="89">
        <f>IF($D$26='ACC Inputs'!$B$7, 0, (E47-E47*E75*E77)*E76/$L$68*E74)</f>
        <v>0</v>
      </c>
      <c r="G79" s="89">
        <f>(G47-G47*G75*G77)*G76/$L$68*G74</f>
        <v>5.2238725948235984</v>
      </c>
      <c r="H79" s="89">
        <f>IF($D$26='ACC Inputs'!$B$7, 0, (H47-H47*H75*H77)*H76/$L$68*H74)</f>
        <v>0</v>
      </c>
      <c r="U79" s="64"/>
      <c r="W79" s="64"/>
    </row>
    <row r="80" spans="3:39" ht="15" customHeight="1" x14ac:dyDescent="0.3">
      <c r="E80" s="63"/>
      <c r="U80" s="64"/>
      <c r="W80" s="64"/>
    </row>
    <row r="81" spans="1:35" ht="15" customHeight="1" x14ac:dyDescent="0.3">
      <c r="E81" s="63"/>
      <c r="U81" s="64"/>
      <c r="W81" s="64"/>
    </row>
    <row r="82" spans="1:35" ht="21" customHeight="1" x14ac:dyDescent="0.3">
      <c r="A82" s="66"/>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row>
    <row r="84" spans="1:35" ht="15" customHeight="1" thickBot="1" x14ac:dyDescent="0.35">
      <c r="E84" s="104">
        <v>2022</v>
      </c>
      <c r="F84" s="104">
        <v>2023</v>
      </c>
      <c r="G84" s="104">
        <v>2024</v>
      </c>
      <c r="H84" s="104">
        <v>2025</v>
      </c>
      <c r="I84" s="104">
        <v>2026</v>
      </c>
      <c r="J84" s="104">
        <v>2027</v>
      </c>
      <c r="K84" s="104">
        <v>2028</v>
      </c>
      <c r="L84" s="104">
        <v>2029</v>
      </c>
      <c r="M84" s="104">
        <v>2030</v>
      </c>
      <c r="N84" s="104">
        <v>2031</v>
      </c>
      <c r="O84" s="104">
        <v>2032</v>
      </c>
      <c r="P84" s="104">
        <v>2033</v>
      </c>
      <c r="Q84" s="104">
        <v>2034</v>
      </c>
      <c r="R84" s="104">
        <v>2035</v>
      </c>
      <c r="S84" s="104">
        <v>2036</v>
      </c>
      <c r="T84" s="104">
        <v>2037</v>
      </c>
      <c r="U84" s="104">
        <v>2038</v>
      </c>
      <c r="V84" s="104">
        <v>2039</v>
      </c>
      <c r="W84" s="104">
        <v>2040</v>
      </c>
      <c r="X84" s="104">
        <v>2041</v>
      </c>
      <c r="Y84" s="104">
        <v>2042</v>
      </c>
      <c r="Z84" s="104">
        <v>2043</v>
      </c>
      <c r="AA84" s="104">
        <v>2044</v>
      </c>
      <c r="AB84" s="104">
        <v>2045</v>
      </c>
      <c r="AC84" s="104">
        <v>2046</v>
      </c>
      <c r="AD84" s="104">
        <v>2047</v>
      </c>
      <c r="AE84" s="104">
        <v>2048</v>
      </c>
      <c r="AF84" s="104">
        <v>2049</v>
      </c>
      <c r="AG84" s="104">
        <v>2050</v>
      </c>
      <c r="AH84" s="104">
        <v>2051</v>
      </c>
      <c r="AI84" s="104">
        <v>2052</v>
      </c>
    </row>
    <row r="85" spans="1:35" ht="15" customHeight="1" x14ac:dyDescent="0.3">
      <c r="B85" s="173" t="s">
        <v>427</v>
      </c>
      <c r="C85" s="172" t="s">
        <v>443</v>
      </c>
      <c r="D85" s="172"/>
      <c r="E85" s="144">
        <f t="shared" ref="E85:AI85" si="0">IF(AND(E$84&gt;=$D$53,E$84&lt;=$D$54, E$84&gt;=$D$69, E$84&lt;=$D$70),$D$78,0)</f>
        <v>0</v>
      </c>
      <c r="F85" s="127">
        <f t="shared" si="0"/>
        <v>0</v>
      </c>
      <c r="G85" s="127">
        <f t="shared" si="0"/>
        <v>0</v>
      </c>
      <c r="H85" s="127">
        <f t="shared" si="0"/>
        <v>0.28189801417024246</v>
      </c>
      <c r="I85" s="127">
        <f t="shared" si="0"/>
        <v>0.28189801417024246</v>
      </c>
      <c r="J85" s="127">
        <f t="shared" si="0"/>
        <v>0.28189801417024246</v>
      </c>
      <c r="K85" s="127">
        <f t="shared" si="0"/>
        <v>0.28189801417024246</v>
      </c>
      <c r="L85" s="127">
        <f t="shared" si="0"/>
        <v>0.28189801417024246</v>
      </c>
      <c r="M85" s="127">
        <f t="shared" si="0"/>
        <v>0.28189801417024246</v>
      </c>
      <c r="N85" s="127">
        <f t="shared" si="0"/>
        <v>0.28189801417024246</v>
      </c>
      <c r="O85" s="127">
        <f t="shared" si="0"/>
        <v>0.28189801417024246</v>
      </c>
      <c r="P85" s="127">
        <f t="shared" si="0"/>
        <v>0.28189801417024246</v>
      </c>
      <c r="Q85" s="127">
        <f t="shared" si="0"/>
        <v>0.28189801417024246</v>
      </c>
      <c r="R85" s="127">
        <f t="shared" si="0"/>
        <v>0.28189801417024246</v>
      </c>
      <c r="S85" s="127">
        <f t="shared" si="0"/>
        <v>0.28189801417024246</v>
      </c>
      <c r="T85" s="127">
        <f t="shared" si="0"/>
        <v>0.28189801417024246</v>
      </c>
      <c r="U85" s="127">
        <f t="shared" si="0"/>
        <v>0.28189801417024246</v>
      </c>
      <c r="V85" s="127">
        <f t="shared" si="0"/>
        <v>0.28189801417024246</v>
      </c>
      <c r="W85" s="127">
        <f t="shared" si="0"/>
        <v>0</v>
      </c>
      <c r="X85" s="127">
        <f t="shared" si="0"/>
        <v>0</v>
      </c>
      <c r="Y85" s="127">
        <f t="shared" si="0"/>
        <v>0</v>
      </c>
      <c r="Z85" s="127">
        <f t="shared" si="0"/>
        <v>0</v>
      </c>
      <c r="AA85" s="127">
        <f t="shared" si="0"/>
        <v>0</v>
      </c>
      <c r="AB85" s="127">
        <f t="shared" si="0"/>
        <v>0</v>
      </c>
      <c r="AC85" s="127">
        <f t="shared" si="0"/>
        <v>0</v>
      </c>
      <c r="AD85" s="127">
        <f t="shared" si="0"/>
        <v>0</v>
      </c>
      <c r="AE85" s="127">
        <f t="shared" si="0"/>
        <v>0</v>
      </c>
      <c r="AF85" s="127">
        <f t="shared" si="0"/>
        <v>0</v>
      </c>
      <c r="AG85" s="127">
        <f t="shared" si="0"/>
        <v>0</v>
      </c>
      <c r="AH85" s="127">
        <f t="shared" si="0"/>
        <v>0</v>
      </c>
      <c r="AI85" s="128">
        <f t="shared" si="0"/>
        <v>0</v>
      </c>
    </row>
    <row r="86" spans="1:35" ht="15" customHeight="1" x14ac:dyDescent="0.3">
      <c r="B86" s="174"/>
      <c r="C86" s="170" t="s">
        <v>444</v>
      </c>
      <c r="D86" s="170"/>
      <c r="E86" s="145">
        <f t="shared" ref="E86:AI86" si="1">IF(AND(E$84&gt;=$D$53,E$84&lt;=$D$54, E$84&gt;=$E$69, E$84&lt;=$E$70),$E$78,0)</f>
        <v>0</v>
      </c>
      <c r="F86" s="146">
        <f t="shared" si="1"/>
        <v>0</v>
      </c>
      <c r="G86" s="146">
        <f t="shared" si="1"/>
        <v>0</v>
      </c>
      <c r="H86" s="146">
        <f t="shared" si="1"/>
        <v>0</v>
      </c>
      <c r="I86" s="146">
        <f t="shared" si="1"/>
        <v>0</v>
      </c>
      <c r="J86" s="146">
        <f t="shared" si="1"/>
        <v>0</v>
      </c>
      <c r="K86" s="146">
        <f t="shared" si="1"/>
        <v>0</v>
      </c>
      <c r="L86" s="146">
        <f t="shared" si="1"/>
        <v>0</v>
      </c>
      <c r="M86" s="146">
        <f t="shared" si="1"/>
        <v>0</v>
      </c>
      <c r="N86" s="146">
        <f t="shared" si="1"/>
        <v>0</v>
      </c>
      <c r="O86" s="146">
        <f t="shared" si="1"/>
        <v>0</v>
      </c>
      <c r="P86" s="146">
        <f t="shared" si="1"/>
        <v>0</v>
      </c>
      <c r="Q86" s="146">
        <f t="shared" si="1"/>
        <v>0</v>
      </c>
      <c r="R86" s="146">
        <f t="shared" si="1"/>
        <v>0</v>
      </c>
      <c r="S86" s="146">
        <f t="shared" si="1"/>
        <v>0</v>
      </c>
      <c r="T86" s="146">
        <f t="shared" si="1"/>
        <v>0</v>
      </c>
      <c r="U86" s="146">
        <f t="shared" si="1"/>
        <v>0</v>
      </c>
      <c r="V86" s="146">
        <f t="shared" si="1"/>
        <v>0</v>
      </c>
      <c r="W86" s="146">
        <f t="shared" si="1"/>
        <v>0</v>
      </c>
      <c r="X86" s="146">
        <f t="shared" si="1"/>
        <v>0</v>
      </c>
      <c r="Y86" s="146">
        <f t="shared" si="1"/>
        <v>0</v>
      </c>
      <c r="Z86" s="146">
        <f t="shared" si="1"/>
        <v>0</v>
      </c>
      <c r="AA86" s="146">
        <f t="shared" si="1"/>
        <v>0</v>
      </c>
      <c r="AB86" s="146">
        <f t="shared" si="1"/>
        <v>0</v>
      </c>
      <c r="AC86" s="146">
        <f t="shared" si="1"/>
        <v>0</v>
      </c>
      <c r="AD86" s="146">
        <f t="shared" si="1"/>
        <v>0</v>
      </c>
      <c r="AE86" s="146">
        <f t="shared" si="1"/>
        <v>0</v>
      </c>
      <c r="AF86" s="146">
        <f t="shared" si="1"/>
        <v>0</v>
      </c>
      <c r="AG86" s="146">
        <f t="shared" si="1"/>
        <v>0</v>
      </c>
      <c r="AH86" s="146">
        <f t="shared" si="1"/>
        <v>0</v>
      </c>
      <c r="AI86" s="122">
        <f t="shared" si="1"/>
        <v>0</v>
      </c>
    </row>
    <row r="87" spans="1:35" ht="15" customHeight="1" x14ac:dyDescent="0.3">
      <c r="B87" s="174"/>
      <c r="C87" s="170" t="s">
        <v>432</v>
      </c>
      <c r="D87" s="170"/>
      <c r="E87" s="145">
        <f t="shared" ref="E87:AI87" si="2">IF(E$84=$D$70,$D$79,0)</f>
        <v>0</v>
      </c>
      <c r="F87" s="146">
        <f t="shared" si="2"/>
        <v>0</v>
      </c>
      <c r="G87" s="146">
        <f t="shared" si="2"/>
        <v>0</v>
      </c>
      <c r="H87" s="146">
        <f t="shared" si="2"/>
        <v>0</v>
      </c>
      <c r="I87" s="146">
        <f t="shared" si="2"/>
        <v>0</v>
      </c>
      <c r="J87" s="146">
        <f t="shared" si="2"/>
        <v>0</v>
      </c>
      <c r="K87" s="146">
        <f t="shared" si="2"/>
        <v>0</v>
      </c>
      <c r="L87" s="146">
        <f t="shared" si="2"/>
        <v>0</v>
      </c>
      <c r="M87" s="146">
        <f t="shared" si="2"/>
        <v>0</v>
      </c>
      <c r="N87" s="146">
        <f t="shared" si="2"/>
        <v>0</v>
      </c>
      <c r="O87" s="146">
        <f t="shared" si="2"/>
        <v>0</v>
      </c>
      <c r="P87" s="146">
        <f t="shared" si="2"/>
        <v>0</v>
      </c>
      <c r="Q87" s="146">
        <f t="shared" si="2"/>
        <v>0</v>
      </c>
      <c r="R87" s="146">
        <f t="shared" si="2"/>
        <v>0</v>
      </c>
      <c r="S87" s="146">
        <f t="shared" si="2"/>
        <v>0</v>
      </c>
      <c r="T87" s="146">
        <f t="shared" si="2"/>
        <v>0</v>
      </c>
      <c r="U87" s="146">
        <f t="shared" si="2"/>
        <v>0</v>
      </c>
      <c r="V87" s="146">
        <f t="shared" si="2"/>
        <v>3.5785091308252674</v>
      </c>
      <c r="W87" s="146">
        <f t="shared" si="2"/>
        <v>0</v>
      </c>
      <c r="X87" s="146">
        <f t="shared" si="2"/>
        <v>0</v>
      </c>
      <c r="Y87" s="146">
        <f t="shared" si="2"/>
        <v>0</v>
      </c>
      <c r="Z87" s="146">
        <f t="shared" si="2"/>
        <v>0</v>
      </c>
      <c r="AA87" s="146">
        <f t="shared" si="2"/>
        <v>0</v>
      </c>
      <c r="AB87" s="146">
        <f t="shared" si="2"/>
        <v>0</v>
      </c>
      <c r="AC87" s="146">
        <f t="shared" si="2"/>
        <v>0</v>
      </c>
      <c r="AD87" s="146">
        <f t="shared" si="2"/>
        <v>0</v>
      </c>
      <c r="AE87" s="146">
        <f t="shared" si="2"/>
        <v>0</v>
      </c>
      <c r="AF87" s="146">
        <f t="shared" si="2"/>
        <v>0</v>
      </c>
      <c r="AG87" s="146">
        <f t="shared" si="2"/>
        <v>0</v>
      </c>
      <c r="AH87" s="146">
        <f t="shared" si="2"/>
        <v>0</v>
      </c>
      <c r="AI87" s="122">
        <f t="shared" si="2"/>
        <v>0</v>
      </c>
    </row>
    <row r="88" spans="1:35" ht="15" customHeight="1" x14ac:dyDescent="0.3">
      <c r="B88" s="174"/>
      <c r="C88" s="170" t="s">
        <v>433</v>
      </c>
      <c r="D88" s="170"/>
      <c r="E88" s="145">
        <f t="shared" ref="E88:AI88" si="3">IF(E$84=$E$70,$E$79,0)</f>
        <v>0</v>
      </c>
      <c r="F88" s="146">
        <f t="shared" si="3"/>
        <v>0</v>
      </c>
      <c r="G88" s="146">
        <f t="shared" si="3"/>
        <v>0</v>
      </c>
      <c r="H88" s="146">
        <f t="shared" si="3"/>
        <v>0</v>
      </c>
      <c r="I88" s="146">
        <f t="shared" si="3"/>
        <v>0</v>
      </c>
      <c r="J88" s="146">
        <f t="shared" si="3"/>
        <v>0</v>
      </c>
      <c r="K88" s="146">
        <f t="shared" si="3"/>
        <v>0</v>
      </c>
      <c r="L88" s="146">
        <f t="shared" si="3"/>
        <v>0</v>
      </c>
      <c r="M88" s="146">
        <f t="shared" si="3"/>
        <v>0</v>
      </c>
      <c r="N88" s="146">
        <f t="shared" si="3"/>
        <v>0</v>
      </c>
      <c r="O88" s="146">
        <f t="shared" si="3"/>
        <v>0</v>
      </c>
      <c r="P88" s="146">
        <f t="shared" si="3"/>
        <v>0</v>
      </c>
      <c r="Q88" s="146">
        <f t="shared" si="3"/>
        <v>0</v>
      </c>
      <c r="R88" s="146">
        <f t="shared" si="3"/>
        <v>0</v>
      </c>
      <c r="S88" s="146">
        <f t="shared" si="3"/>
        <v>0</v>
      </c>
      <c r="T88" s="146">
        <f t="shared" si="3"/>
        <v>0</v>
      </c>
      <c r="U88" s="146">
        <f t="shared" si="3"/>
        <v>0</v>
      </c>
      <c r="V88" s="146">
        <f t="shared" si="3"/>
        <v>0</v>
      </c>
      <c r="W88" s="146">
        <f t="shared" si="3"/>
        <v>0</v>
      </c>
      <c r="X88" s="146">
        <f t="shared" si="3"/>
        <v>0</v>
      </c>
      <c r="Y88" s="146">
        <f t="shared" si="3"/>
        <v>0</v>
      </c>
      <c r="Z88" s="146">
        <f t="shared" si="3"/>
        <v>0</v>
      </c>
      <c r="AA88" s="146">
        <f t="shared" si="3"/>
        <v>0</v>
      </c>
      <c r="AB88" s="146">
        <f t="shared" si="3"/>
        <v>0</v>
      </c>
      <c r="AC88" s="146">
        <f t="shared" si="3"/>
        <v>0</v>
      </c>
      <c r="AD88" s="146">
        <f t="shared" si="3"/>
        <v>0</v>
      </c>
      <c r="AE88" s="146">
        <f t="shared" si="3"/>
        <v>0</v>
      </c>
      <c r="AF88" s="146">
        <f t="shared" si="3"/>
        <v>0</v>
      </c>
      <c r="AG88" s="146">
        <f t="shared" si="3"/>
        <v>0</v>
      </c>
      <c r="AH88" s="146">
        <f t="shared" si="3"/>
        <v>0</v>
      </c>
      <c r="AI88" s="122">
        <f t="shared" si="3"/>
        <v>0</v>
      </c>
    </row>
    <row r="89" spans="1:35" ht="15" customHeight="1" x14ac:dyDescent="0.3">
      <c r="B89" s="174"/>
      <c r="C89" s="170"/>
      <c r="D89" s="170"/>
      <c r="E89" s="145"/>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22"/>
    </row>
    <row r="90" spans="1:35" ht="15" customHeight="1" x14ac:dyDescent="0.3">
      <c r="B90" s="174"/>
      <c r="C90" s="170" t="s">
        <v>395</v>
      </c>
      <c r="D90" s="170"/>
      <c r="E90" s="147">
        <f>'ACC Inputs'!E4</f>
        <v>131.79844620666665</v>
      </c>
      <c r="F90" s="148">
        <f>'ACC Inputs'!F4</f>
        <v>141.7140826429482</v>
      </c>
      <c r="G90" s="148">
        <f>'ACC Inputs'!G4</f>
        <v>152.37570546045268</v>
      </c>
      <c r="H90" s="148">
        <f>'ACC Inputs'!H4</f>
        <v>163.83943770126069</v>
      </c>
      <c r="I90" s="148">
        <f>'ACC Inputs'!I4</f>
        <v>176.16562473098554</v>
      </c>
      <c r="J90" s="148">
        <f>'ACC Inputs'!J4</f>
        <v>189.4191518982467</v>
      </c>
      <c r="K90" s="148">
        <f>'ACC Inputs'!K4</f>
        <v>203.66978609272476</v>
      </c>
      <c r="L90" s="148">
        <f>'ACC Inputs'!L4</f>
        <v>218.99254299976741</v>
      </c>
      <c r="M90" s="148">
        <f>'ACC Inputs'!M4</f>
        <v>235.46808198478325</v>
      </c>
      <c r="N90" s="148">
        <f>'ACC Inputs'!N4</f>
        <v>253.1831306861051</v>
      </c>
      <c r="O90" s="148">
        <f>'ACC Inputs'!O4</f>
        <v>272.23094155138972</v>
      </c>
      <c r="P90" s="148">
        <f>'ACC Inputs'!P4</f>
        <v>292.71178272077259</v>
      </c>
      <c r="Q90" s="148">
        <f>'ACC Inputs'!Q4</f>
        <v>314.73346584079871</v>
      </c>
      <c r="R90" s="148">
        <f>'ACC Inputs'!R4</f>
        <v>338.41191358755475</v>
      </c>
      <c r="S90" s="148">
        <f>'ACC Inputs'!S4</f>
        <v>363.87176988645848</v>
      </c>
      <c r="T90" s="148">
        <f>'ACC Inputs'!T4</f>
        <v>391.24705604091633</v>
      </c>
      <c r="U90" s="148">
        <f>'ACC Inputs'!U4</f>
        <v>420.68187622372795</v>
      </c>
      <c r="V90" s="148">
        <f>'ACC Inputs'!V4</f>
        <v>452.3311760449597</v>
      </c>
      <c r="W90" s="148">
        <f>'ACC Inputs'!W4</f>
        <v>486.36155818940881</v>
      </c>
      <c r="X90" s="148">
        <f>'ACC Inputs'!X4</f>
        <v>522.95215941719187</v>
      </c>
      <c r="Y90" s="148">
        <f>'ACC Inputs'!Y4</f>
        <v>562.29559354401204</v>
      </c>
      <c r="Z90" s="148">
        <f>'ACC Inputs'!Z4</f>
        <v>604.5989653649732</v>
      </c>
      <c r="AA90" s="148">
        <f>'ACC Inputs'!AA4</f>
        <v>650.0849608592647</v>
      </c>
      <c r="AB90" s="148">
        <f>'ACC Inputs'!AB4</f>
        <v>698.99301941457657</v>
      </c>
      <c r="AC90" s="148">
        <f>'ACC Inputs'!AC4</f>
        <v>751.58059424186649</v>
      </c>
      <c r="AD90" s="148">
        <f>'ACC Inputs'!AD4</f>
        <v>808.12450761532966</v>
      </c>
      <c r="AE90" s="148">
        <f>'ACC Inputs'!AE4</f>
        <v>868.92240807158953</v>
      </c>
      <c r="AF90" s="148">
        <f>'ACC Inputs'!AF4</f>
        <v>934.29433723884199</v>
      </c>
      <c r="AG90" s="148">
        <f>'ACC Inputs'!AG4</f>
        <v>1004.5844145437777</v>
      </c>
      <c r="AH90" s="148">
        <f>'ACC Inputs'!AH4</f>
        <v>1080.162648664621</v>
      </c>
      <c r="AI90" s="129">
        <f>'ACC Inputs'!AI4</f>
        <v>1161.4268852658229</v>
      </c>
    </row>
    <row r="91" spans="1:35" ht="15" customHeight="1" x14ac:dyDescent="0.3">
      <c r="B91" s="174"/>
      <c r="C91" s="170" t="s">
        <v>446</v>
      </c>
      <c r="D91" s="170"/>
      <c r="E91" s="147">
        <f t="shared" ref="E91:AI91" si="4">E$90*E85</f>
        <v>0</v>
      </c>
      <c r="F91" s="148">
        <f t="shared" si="4"/>
        <v>0</v>
      </c>
      <c r="G91" s="148">
        <f t="shared" si="4"/>
        <v>0</v>
      </c>
      <c r="H91" s="148">
        <f t="shared" si="4"/>
        <v>46.186012130754541</v>
      </c>
      <c r="I91" s="148">
        <f t="shared" si="4"/>
        <v>49.660739776724981</v>
      </c>
      <c r="J91" s="148">
        <f t="shared" si="4"/>
        <v>53.396882765927259</v>
      </c>
      <c r="K91" s="148">
        <f t="shared" si="4"/>
        <v>57.414108246017179</v>
      </c>
      <c r="L91" s="148">
        <f t="shared" si="4"/>
        <v>61.733562989725861</v>
      </c>
      <c r="M91" s="148">
        <f t="shared" si="4"/>
        <v>66.377984711986244</v>
      </c>
      <c r="N91" s="148">
        <f t="shared" si="4"/>
        <v>71.371821761818012</v>
      </c>
      <c r="O91" s="148">
        <f t="shared" si="4"/>
        <v>76.741361819032107</v>
      </c>
      <c r="P91" s="148">
        <f t="shared" si="4"/>
        <v>82.514870273217284</v>
      </c>
      <c r="Q91" s="148">
        <f t="shared" si="4"/>
        <v>88.722739013438996</v>
      </c>
      <c r="R91" s="148">
        <f t="shared" si="4"/>
        <v>95.397646411883372</v>
      </c>
      <c r="S91" s="148">
        <f t="shared" si="4"/>
        <v>102.57472934360408</v>
      </c>
      <c r="T91" s="148">
        <f t="shared" si="4"/>
        <v>110.29176814788788</v>
      </c>
      <c r="U91" s="148">
        <f t="shared" si="4"/>
        <v>118.58938550488065</v>
      </c>
      <c r="V91" s="148">
        <f t="shared" si="4"/>
        <v>127.51126027436449</v>
      </c>
      <c r="W91" s="148">
        <f t="shared" si="4"/>
        <v>0</v>
      </c>
      <c r="X91" s="148">
        <f t="shared" si="4"/>
        <v>0</v>
      </c>
      <c r="Y91" s="148">
        <f t="shared" si="4"/>
        <v>0</v>
      </c>
      <c r="Z91" s="148">
        <f t="shared" si="4"/>
        <v>0</v>
      </c>
      <c r="AA91" s="148">
        <f t="shared" si="4"/>
        <v>0</v>
      </c>
      <c r="AB91" s="148">
        <f t="shared" si="4"/>
        <v>0</v>
      </c>
      <c r="AC91" s="148">
        <f t="shared" si="4"/>
        <v>0</v>
      </c>
      <c r="AD91" s="148">
        <f t="shared" si="4"/>
        <v>0</v>
      </c>
      <c r="AE91" s="148">
        <f t="shared" si="4"/>
        <v>0</v>
      </c>
      <c r="AF91" s="148">
        <f t="shared" si="4"/>
        <v>0</v>
      </c>
      <c r="AG91" s="148">
        <f t="shared" si="4"/>
        <v>0</v>
      </c>
      <c r="AH91" s="148">
        <f t="shared" si="4"/>
        <v>0</v>
      </c>
      <c r="AI91" s="129">
        <f t="shared" si="4"/>
        <v>0</v>
      </c>
    </row>
    <row r="92" spans="1:35" ht="15" customHeight="1" x14ac:dyDescent="0.3">
      <c r="B92" s="174"/>
      <c r="C92" s="170" t="s">
        <v>447</v>
      </c>
      <c r="D92" s="170"/>
      <c r="E92" s="147">
        <f t="shared" ref="E92:AI92" si="5">E$90*E86</f>
        <v>0</v>
      </c>
      <c r="F92" s="148">
        <f t="shared" si="5"/>
        <v>0</v>
      </c>
      <c r="G92" s="148">
        <f t="shared" si="5"/>
        <v>0</v>
      </c>
      <c r="H92" s="148">
        <f t="shared" si="5"/>
        <v>0</v>
      </c>
      <c r="I92" s="148">
        <f t="shared" si="5"/>
        <v>0</v>
      </c>
      <c r="J92" s="148">
        <f t="shared" si="5"/>
        <v>0</v>
      </c>
      <c r="K92" s="148">
        <f t="shared" si="5"/>
        <v>0</v>
      </c>
      <c r="L92" s="148">
        <f t="shared" si="5"/>
        <v>0</v>
      </c>
      <c r="M92" s="148">
        <f t="shared" si="5"/>
        <v>0</v>
      </c>
      <c r="N92" s="148">
        <f t="shared" si="5"/>
        <v>0</v>
      </c>
      <c r="O92" s="148">
        <f t="shared" si="5"/>
        <v>0</v>
      </c>
      <c r="P92" s="148">
        <f t="shared" si="5"/>
        <v>0</v>
      </c>
      <c r="Q92" s="148">
        <f t="shared" si="5"/>
        <v>0</v>
      </c>
      <c r="R92" s="148">
        <f t="shared" si="5"/>
        <v>0</v>
      </c>
      <c r="S92" s="148">
        <f t="shared" si="5"/>
        <v>0</v>
      </c>
      <c r="T92" s="148">
        <f t="shared" si="5"/>
        <v>0</v>
      </c>
      <c r="U92" s="148">
        <f t="shared" si="5"/>
        <v>0</v>
      </c>
      <c r="V92" s="148">
        <f t="shared" si="5"/>
        <v>0</v>
      </c>
      <c r="W92" s="148">
        <f t="shared" si="5"/>
        <v>0</v>
      </c>
      <c r="X92" s="148">
        <f t="shared" si="5"/>
        <v>0</v>
      </c>
      <c r="Y92" s="148">
        <f t="shared" si="5"/>
        <v>0</v>
      </c>
      <c r="Z92" s="148">
        <f t="shared" si="5"/>
        <v>0</v>
      </c>
      <c r="AA92" s="148">
        <f t="shared" si="5"/>
        <v>0</v>
      </c>
      <c r="AB92" s="148">
        <f t="shared" si="5"/>
        <v>0</v>
      </c>
      <c r="AC92" s="148">
        <f t="shared" si="5"/>
        <v>0</v>
      </c>
      <c r="AD92" s="148">
        <f t="shared" si="5"/>
        <v>0</v>
      </c>
      <c r="AE92" s="148">
        <f t="shared" si="5"/>
        <v>0</v>
      </c>
      <c r="AF92" s="148">
        <f t="shared" si="5"/>
        <v>0</v>
      </c>
      <c r="AG92" s="148">
        <f t="shared" si="5"/>
        <v>0</v>
      </c>
      <c r="AH92" s="148">
        <f t="shared" si="5"/>
        <v>0</v>
      </c>
      <c r="AI92" s="129">
        <f t="shared" si="5"/>
        <v>0</v>
      </c>
    </row>
    <row r="93" spans="1:35" ht="15" customHeight="1" x14ac:dyDescent="0.3">
      <c r="B93" s="174"/>
      <c r="C93" s="170" t="s">
        <v>448</v>
      </c>
      <c r="D93" s="170"/>
      <c r="E93" s="147">
        <f t="shared" ref="E93:AI93" si="6">E$90*E87</f>
        <v>0</v>
      </c>
      <c r="F93" s="148">
        <f t="shared" si="6"/>
        <v>0</v>
      </c>
      <c r="G93" s="148">
        <f t="shared" si="6"/>
        <v>0</v>
      </c>
      <c r="H93" s="148">
        <f t="shared" si="6"/>
        <v>0</v>
      </c>
      <c r="I93" s="148">
        <f t="shared" si="6"/>
        <v>0</v>
      </c>
      <c r="J93" s="148">
        <f t="shared" si="6"/>
        <v>0</v>
      </c>
      <c r="K93" s="148">
        <f t="shared" si="6"/>
        <v>0</v>
      </c>
      <c r="L93" s="148">
        <f t="shared" si="6"/>
        <v>0</v>
      </c>
      <c r="M93" s="148">
        <f t="shared" si="6"/>
        <v>0</v>
      </c>
      <c r="N93" s="148">
        <f t="shared" si="6"/>
        <v>0</v>
      </c>
      <c r="O93" s="148">
        <f t="shared" si="6"/>
        <v>0</v>
      </c>
      <c r="P93" s="148">
        <f t="shared" si="6"/>
        <v>0</v>
      </c>
      <c r="Q93" s="148">
        <f t="shared" si="6"/>
        <v>0</v>
      </c>
      <c r="R93" s="148">
        <f t="shared" si="6"/>
        <v>0</v>
      </c>
      <c r="S93" s="148">
        <f t="shared" si="6"/>
        <v>0</v>
      </c>
      <c r="T93" s="148">
        <f t="shared" si="6"/>
        <v>0</v>
      </c>
      <c r="U93" s="148">
        <f t="shared" si="6"/>
        <v>0</v>
      </c>
      <c r="V93" s="148">
        <f t="shared" si="6"/>
        <v>1618.6712436338198</v>
      </c>
      <c r="W93" s="148">
        <f t="shared" si="6"/>
        <v>0</v>
      </c>
      <c r="X93" s="148">
        <f t="shared" si="6"/>
        <v>0</v>
      </c>
      <c r="Y93" s="148">
        <f t="shared" si="6"/>
        <v>0</v>
      </c>
      <c r="Z93" s="148">
        <f t="shared" si="6"/>
        <v>0</v>
      </c>
      <c r="AA93" s="148">
        <f t="shared" si="6"/>
        <v>0</v>
      </c>
      <c r="AB93" s="148">
        <f t="shared" si="6"/>
        <v>0</v>
      </c>
      <c r="AC93" s="148">
        <f t="shared" si="6"/>
        <v>0</v>
      </c>
      <c r="AD93" s="148">
        <f t="shared" si="6"/>
        <v>0</v>
      </c>
      <c r="AE93" s="148">
        <f t="shared" si="6"/>
        <v>0</v>
      </c>
      <c r="AF93" s="148">
        <f t="shared" si="6"/>
        <v>0</v>
      </c>
      <c r="AG93" s="148">
        <f t="shared" si="6"/>
        <v>0</v>
      </c>
      <c r="AH93" s="148">
        <f t="shared" si="6"/>
        <v>0</v>
      </c>
      <c r="AI93" s="129">
        <f t="shared" si="6"/>
        <v>0</v>
      </c>
    </row>
    <row r="94" spans="1:35" ht="15" customHeight="1" x14ac:dyDescent="0.3">
      <c r="B94" s="174"/>
      <c r="C94" s="170" t="s">
        <v>449</v>
      </c>
      <c r="D94" s="170"/>
      <c r="E94" s="147">
        <f t="shared" ref="E94:AI94" si="7">E$90*E88</f>
        <v>0</v>
      </c>
      <c r="F94" s="148">
        <f t="shared" si="7"/>
        <v>0</v>
      </c>
      <c r="G94" s="148">
        <f t="shared" si="7"/>
        <v>0</v>
      </c>
      <c r="H94" s="148">
        <f t="shared" si="7"/>
        <v>0</v>
      </c>
      <c r="I94" s="148">
        <f t="shared" si="7"/>
        <v>0</v>
      </c>
      <c r="J94" s="148">
        <f t="shared" si="7"/>
        <v>0</v>
      </c>
      <c r="K94" s="148">
        <f t="shared" si="7"/>
        <v>0</v>
      </c>
      <c r="L94" s="148">
        <f t="shared" si="7"/>
        <v>0</v>
      </c>
      <c r="M94" s="148">
        <f t="shared" si="7"/>
        <v>0</v>
      </c>
      <c r="N94" s="148">
        <f t="shared" si="7"/>
        <v>0</v>
      </c>
      <c r="O94" s="148">
        <f t="shared" si="7"/>
        <v>0</v>
      </c>
      <c r="P94" s="148">
        <f t="shared" si="7"/>
        <v>0</v>
      </c>
      <c r="Q94" s="148">
        <f t="shared" si="7"/>
        <v>0</v>
      </c>
      <c r="R94" s="148">
        <f t="shared" si="7"/>
        <v>0</v>
      </c>
      <c r="S94" s="148">
        <f t="shared" si="7"/>
        <v>0</v>
      </c>
      <c r="T94" s="148">
        <f t="shared" si="7"/>
        <v>0</v>
      </c>
      <c r="U94" s="148">
        <f t="shared" si="7"/>
        <v>0</v>
      </c>
      <c r="V94" s="148">
        <f t="shared" si="7"/>
        <v>0</v>
      </c>
      <c r="W94" s="148">
        <f t="shared" si="7"/>
        <v>0</v>
      </c>
      <c r="X94" s="148">
        <f t="shared" si="7"/>
        <v>0</v>
      </c>
      <c r="Y94" s="148">
        <f t="shared" si="7"/>
        <v>0</v>
      </c>
      <c r="Z94" s="148">
        <f t="shared" si="7"/>
        <v>0</v>
      </c>
      <c r="AA94" s="148">
        <f t="shared" si="7"/>
        <v>0</v>
      </c>
      <c r="AB94" s="148">
        <f t="shared" si="7"/>
        <v>0</v>
      </c>
      <c r="AC94" s="148">
        <f t="shared" si="7"/>
        <v>0</v>
      </c>
      <c r="AD94" s="148">
        <f t="shared" si="7"/>
        <v>0</v>
      </c>
      <c r="AE94" s="148">
        <f t="shared" si="7"/>
        <v>0</v>
      </c>
      <c r="AF94" s="148">
        <f t="shared" si="7"/>
        <v>0</v>
      </c>
      <c r="AG94" s="148">
        <f t="shared" si="7"/>
        <v>0</v>
      </c>
      <c r="AH94" s="148">
        <f t="shared" si="7"/>
        <v>0</v>
      </c>
      <c r="AI94" s="129">
        <f t="shared" si="7"/>
        <v>0</v>
      </c>
    </row>
    <row r="95" spans="1:35" customFormat="1" ht="15" customHeight="1" x14ac:dyDescent="0.3">
      <c r="A95" s="1"/>
      <c r="B95" s="174"/>
      <c r="C95" s="126"/>
      <c r="D95" s="126"/>
      <c r="E95" s="79"/>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80"/>
    </row>
    <row r="96" spans="1:35" ht="15" customHeight="1" x14ac:dyDescent="0.3">
      <c r="B96" s="174"/>
      <c r="C96" s="1" t="s">
        <v>518</v>
      </c>
      <c r="D96" s="126"/>
      <c r="E96" s="147">
        <f>(E91/(1+$D$58)^(E$84-$D$69+0.5))</f>
        <v>0</v>
      </c>
      <c r="F96" s="148">
        <f t="shared" ref="F96:AI96" si="8">(F91/(1+$D$58)^(F$84-$D$69+0.5))</f>
        <v>0</v>
      </c>
      <c r="G96" s="148">
        <f t="shared" si="8"/>
        <v>0</v>
      </c>
      <c r="H96" s="148">
        <f t="shared" si="8"/>
        <v>44.578933042791135</v>
      </c>
      <c r="I96" s="148">
        <f t="shared" si="8"/>
        <v>44.655072453925655</v>
      </c>
      <c r="J96" s="148">
        <f t="shared" si="8"/>
        <v>44.73134190877213</v>
      </c>
      <c r="K96" s="148">
        <f t="shared" si="8"/>
        <v>44.807741629441111</v>
      </c>
      <c r="L96" s="148">
        <f t="shared" si="8"/>
        <v>44.884271838422507</v>
      </c>
      <c r="M96" s="148">
        <f t="shared" si="8"/>
        <v>44.960932758586267</v>
      </c>
      <c r="N96" s="148">
        <f t="shared" si="8"/>
        <v>45.037724613182959</v>
      </c>
      <c r="O96" s="148">
        <f t="shared" si="8"/>
        <v>45.114647625844434</v>
      </c>
      <c r="P96" s="148">
        <f t="shared" si="8"/>
        <v>45.191702020584557</v>
      </c>
      <c r="Q96" s="148">
        <f t="shared" si="8"/>
        <v>45.268888021799768</v>
      </c>
      <c r="R96" s="148">
        <f t="shared" si="8"/>
        <v>45.346205854269762</v>
      </c>
      <c r="S96" s="148">
        <f t="shared" si="8"/>
        <v>45.423655743158193</v>
      </c>
      <c r="T96" s="148">
        <f t="shared" si="8"/>
        <v>45.501237914013224</v>
      </c>
      <c r="U96" s="148">
        <f t="shared" si="8"/>
        <v>45.578952592768296</v>
      </c>
      <c r="V96" s="148">
        <f t="shared" si="8"/>
        <v>45.656800005742717</v>
      </c>
      <c r="W96" s="148">
        <f t="shared" si="8"/>
        <v>0</v>
      </c>
      <c r="X96" s="148">
        <f t="shared" si="8"/>
        <v>0</v>
      </c>
      <c r="Y96" s="148">
        <f t="shared" si="8"/>
        <v>0</v>
      </c>
      <c r="Z96" s="148">
        <f t="shared" si="8"/>
        <v>0</v>
      </c>
      <c r="AA96" s="148">
        <f t="shared" si="8"/>
        <v>0</v>
      </c>
      <c r="AB96" s="148">
        <f t="shared" si="8"/>
        <v>0</v>
      </c>
      <c r="AC96" s="148">
        <f t="shared" si="8"/>
        <v>0</v>
      </c>
      <c r="AD96" s="148">
        <f t="shared" si="8"/>
        <v>0</v>
      </c>
      <c r="AE96" s="148">
        <f t="shared" si="8"/>
        <v>0</v>
      </c>
      <c r="AF96" s="148">
        <f t="shared" si="8"/>
        <v>0</v>
      </c>
      <c r="AG96" s="148">
        <f t="shared" si="8"/>
        <v>0</v>
      </c>
      <c r="AH96" s="148">
        <f t="shared" si="8"/>
        <v>0</v>
      </c>
      <c r="AI96" s="129">
        <f t="shared" si="8"/>
        <v>0</v>
      </c>
    </row>
    <row r="97" spans="2:35" ht="15" customHeight="1" x14ac:dyDescent="0.3">
      <c r="B97" s="174"/>
      <c r="C97" s="170" t="s">
        <v>519</v>
      </c>
      <c r="D97" s="170"/>
      <c r="E97" s="147">
        <f>(E92/(1+$D$58)^(E$84-$D$69+0.5))</f>
        <v>0</v>
      </c>
      <c r="F97" s="148">
        <f t="shared" ref="F97:AI97" si="9">(F92/(1+$D$58)^(F$84-$D$69+0.5))</f>
        <v>0</v>
      </c>
      <c r="G97" s="148">
        <f t="shared" si="9"/>
        <v>0</v>
      </c>
      <c r="H97" s="148">
        <f t="shared" si="9"/>
        <v>0</v>
      </c>
      <c r="I97" s="148">
        <f t="shared" si="9"/>
        <v>0</v>
      </c>
      <c r="J97" s="148">
        <f t="shared" si="9"/>
        <v>0</v>
      </c>
      <c r="K97" s="148">
        <f t="shared" si="9"/>
        <v>0</v>
      </c>
      <c r="L97" s="148">
        <f t="shared" si="9"/>
        <v>0</v>
      </c>
      <c r="M97" s="148">
        <f t="shared" si="9"/>
        <v>0</v>
      </c>
      <c r="N97" s="148">
        <f t="shared" si="9"/>
        <v>0</v>
      </c>
      <c r="O97" s="148">
        <f t="shared" si="9"/>
        <v>0</v>
      </c>
      <c r="P97" s="148">
        <f t="shared" si="9"/>
        <v>0</v>
      </c>
      <c r="Q97" s="148">
        <f t="shared" si="9"/>
        <v>0</v>
      </c>
      <c r="R97" s="148">
        <f t="shared" si="9"/>
        <v>0</v>
      </c>
      <c r="S97" s="148">
        <f t="shared" si="9"/>
        <v>0</v>
      </c>
      <c r="T97" s="148">
        <f t="shared" si="9"/>
        <v>0</v>
      </c>
      <c r="U97" s="148">
        <f t="shared" si="9"/>
        <v>0</v>
      </c>
      <c r="V97" s="148">
        <f t="shared" si="9"/>
        <v>0</v>
      </c>
      <c r="W97" s="148">
        <f t="shared" si="9"/>
        <v>0</v>
      </c>
      <c r="X97" s="148">
        <f t="shared" si="9"/>
        <v>0</v>
      </c>
      <c r="Y97" s="148">
        <f t="shared" si="9"/>
        <v>0</v>
      </c>
      <c r="Z97" s="148">
        <f t="shared" si="9"/>
        <v>0</v>
      </c>
      <c r="AA97" s="148">
        <f t="shared" si="9"/>
        <v>0</v>
      </c>
      <c r="AB97" s="148">
        <f t="shared" si="9"/>
        <v>0</v>
      </c>
      <c r="AC97" s="148">
        <f t="shared" si="9"/>
        <v>0</v>
      </c>
      <c r="AD97" s="148">
        <f t="shared" si="9"/>
        <v>0</v>
      </c>
      <c r="AE97" s="148">
        <f t="shared" si="9"/>
        <v>0</v>
      </c>
      <c r="AF97" s="148">
        <f t="shared" si="9"/>
        <v>0</v>
      </c>
      <c r="AG97" s="148">
        <f t="shared" si="9"/>
        <v>0</v>
      </c>
      <c r="AH97" s="148">
        <f t="shared" si="9"/>
        <v>0</v>
      </c>
      <c r="AI97" s="129">
        <f t="shared" si="9"/>
        <v>0</v>
      </c>
    </row>
    <row r="98" spans="2:35" ht="15" customHeight="1" x14ac:dyDescent="0.3">
      <c r="B98" s="174"/>
      <c r="C98" s="170" t="s">
        <v>520</v>
      </c>
      <c r="D98" s="170"/>
      <c r="E98" s="147">
        <f>(E93/(1+$D$58)^(E$84-$D$69+0.5))</f>
        <v>0</v>
      </c>
      <c r="F98" s="148">
        <f t="shared" ref="F98:AI98" si="10">(F93/(1+$D$58)^(F$84-$D$69+0.5))</f>
        <v>0</v>
      </c>
      <c r="G98" s="148">
        <f t="shared" si="10"/>
        <v>0</v>
      </c>
      <c r="H98" s="148">
        <f t="shared" si="10"/>
        <v>0</v>
      </c>
      <c r="I98" s="148">
        <f t="shared" si="10"/>
        <v>0</v>
      </c>
      <c r="J98" s="148">
        <f t="shared" si="10"/>
        <v>0</v>
      </c>
      <c r="K98" s="148">
        <f t="shared" si="10"/>
        <v>0</v>
      </c>
      <c r="L98" s="148">
        <f t="shared" si="10"/>
        <v>0</v>
      </c>
      <c r="M98" s="148">
        <f t="shared" si="10"/>
        <v>0</v>
      </c>
      <c r="N98" s="148">
        <f t="shared" si="10"/>
        <v>0</v>
      </c>
      <c r="O98" s="148">
        <f t="shared" si="10"/>
        <v>0</v>
      </c>
      <c r="P98" s="148">
        <f t="shared" si="10"/>
        <v>0</v>
      </c>
      <c r="Q98" s="148">
        <f t="shared" si="10"/>
        <v>0</v>
      </c>
      <c r="R98" s="148">
        <f t="shared" si="10"/>
        <v>0</v>
      </c>
      <c r="S98" s="148">
        <f t="shared" si="10"/>
        <v>0</v>
      </c>
      <c r="T98" s="148">
        <f t="shared" si="10"/>
        <v>0</v>
      </c>
      <c r="U98" s="148">
        <f t="shared" si="10"/>
        <v>0</v>
      </c>
      <c r="V98" s="148">
        <f t="shared" si="10"/>
        <v>579.58292535591897</v>
      </c>
      <c r="W98" s="148">
        <f t="shared" si="10"/>
        <v>0</v>
      </c>
      <c r="X98" s="148">
        <f t="shared" si="10"/>
        <v>0</v>
      </c>
      <c r="Y98" s="148">
        <f t="shared" si="10"/>
        <v>0</v>
      </c>
      <c r="Z98" s="148">
        <f t="shared" si="10"/>
        <v>0</v>
      </c>
      <c r="AA98" s="148">
        <f t="shared" si="10"/>
        <v>0</v>
      </c>
      <c r="AB98" s="148">
        <f t="shared" si="10"/>
        <v>0</v>
      </c>
      <c r="AC98" s="148">
        <f t="shared" si="10"/>
        <v>0</v>
      </c>
      <c r="AD98" s="148">
        <f t="shared" si="10"/>
        <v>0</v>
      </c>
      <c r="AE98" s="148">
        <f t="shared" si="10"/>
        <v>0</v>
      </c>
      <c r="AF98" s="148">
        <f t="shared" si="10"/>
        <v>0</v>
      </c>
      <c r="AG98" s="148">
        <f t="shared" si="10"/>
        <v>0</v>
      </c>
      <c r="AH98" s="148">
        <f t="shared" si="10"/>
        <v>0</v>
      </c>
      <c r="AI98" s="129">
        <f t="shared" si="10"/>
        <v>0</v>
      </c>
    </row>
    <row r="99" spans="2:35" ht="15" customHeight="1" thickBot="1" x14ac:dyDescent="0.35">
      <c r="B99" s="175"/>
      <c r="C99" s="157" t="s">
        <v>521</v>
      </c>
      <c r="D99" s="157"/>
      <c r="E99" s="149">
        <f>(E94/(1+$D$58)^(E$84-$D$69+0.5))</f>
        <v>0</v>
      </c>
      <c r="F99" s="130">
        <f t="shared" ref="F99:AI99" si="11">(F94/(1+$D$58)^(F$84-$D$69+0.5))</f>
        <v>0</v>
      </c>
      <c r="G99" s="130">
        <f t="shared" si="11"/>
        <v>0</v>
      </c>
      <c r="H99" s="130">
        <f t="shared" si="11"/>
        <v>0</v>
      </c>
      <c r="I99" s="130">
        <f t="shared" si="11"/>
        <v>0</v>
      </c>
      <c r="J99" s="130">
        <f t="shared" si="11"/>
        <v>0</v>
      </c>
      <c r="K99" s="130">
        <f t="shared" si="11"/>
        <v>0</v>
      </c>
      <c r="L99" s="130">
        <f t="shared" si="11"/>
        <v>0</v>
      </c>
      <c r="M99" s="130">
        <f t="shared" si="11"/>
        <v>0</v>
      </c>
      <c r="N99" s="130">
        <f t="shared" si="11"/>
        <v>0</v>
      </c>
      <c r="O99" s="130">
        <f t="shared" si="11"/>
        <v>0</v>
      </c>
      <c r="P99" s="130">
        <f t="shared" si="11"/>
        <v>0</v>
      </c>
      <c r="Q99" s="130">
        <f t="shared" si="11"/>
        <v>0</v>
      </c>
      <c r="R99" s="130">
        <f t="shared" si="11"/>
        <v>0</v>
      </c>
      <c r="S99" s="130">
        <f t="shared" si="11"/>
        <v>0</v>
      </c>
      <c r="T99" s="130">
        <f t="shared" si="11"/>
        <v>0</v>
      </c>
      <c r="U99" s="130">
        <f t="shared" si="11"/>
        <v>0</v>
      </c>
      <c r="V99" s="130">
        <f t="shared" si="11"/>
        <v>0</v>
      </c>
      <c r="W99" s="130">
        <f t="shared" si="11"/>
        <v>0</v>
      </c>
      <c r="X99" s="130">
        <f t="shared" si="11"/>
        <v>0</v>
      </c>
      <c r="Y99" s="130">
        <f t="shared" si="11"/>
        <v>0</v>
      </c>
      <c r="Z99" s="130">
        <f t="shared" si="11"/>
        <v>0</v>
      </c>
      <c r="AA99" s="130">
        <f t="shared" si="11"/>
        <v>0</v>
      </c>
      <c r="AB99" s="130">
        <f t="shared" si="11"/>
        <v>0</v>
      </c>
      <c r="AC99" s="130">
        <f t="shared" si="11"/>
        <v>0</v>
      </c>
      <c r="AD99" s="130">
        <f t="shared" si="11"/>
        <v>0</v>
      </c>
      <c r="AE99" s="130">
        <f t="shared" si="11"/>
        <v>0</v>
      </c>
      <c r="AF99" s="130">
        <f t="shared" si="11"/>
        <v>0</v>
      </c>
      <c r="AG99" s="130">
        <f t="shared" si="11"/>
        <v>0</v>
      </c>
      <c r="AH99" s="130">
        <f t="shared" si="11"/>
        <v>0</v>
      </c>
      <c r="AI99" s="131">
        <f t="shared" si="11"/>
        <v>0</v>
      </c>
    </row>
    <row r="100" spans="2:35" ht="15" customHeight="1" x14ac:dyDescent="0.3">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row>
    <row r="101" spans="2:35" ht="15" customHeight="1" x14ac:dyDescent="0.3">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row>
    <row r="102" spans="2:35" ht="15" customHeight="1" thickBot="1" x14ac:dyDescent="0.35">
      <c r="E102" s="104">
        <v>2022</v>
      </c>
      <c r="F102" s="104">
        <v>2023</v>
      </c>
      <c r="G102" s="104">
        <v>2024</v>
      </c>
      <c r="H102" s="104">
        <v>2025</v>
      </c>
      <c r="I102" s="104">
        <v>2026</v>
      </c>
      <c r="J102" s="104">
        <v>2027</v>
      </c>
      <c r="K102" s="104">
        <v>2028</v>
      </c>
      <c r="L102" s="104">
        <v>2029</v>
      </c>
      <c r="M102" s="104">
        <v>2030</v>
      </c>
      <c r="N102" s="104">
        <v>2031</v>
      </c>
      <c r="O102" s="104">
        <v>2032</v>
      </c>
      <c r="P102" s="104">
        <v>2033</v>
      </c>
      <c r="Q102" s="104">
        <v>2034</v>
      </c>
      <c r="R102" s="104">
        <v>2035</v>
      </c>
      <c r="S102" s="104">
        <v>2036</v>
      </c>
      <c r="T102" s="104">
        <v>2037</v>
      </c>
      <c r="U102" s="104">
        <v>2038</v>
      </c>
      <c r="V102" s="104">
        <v>2039</v>
      </c>
      <c r="W102" s="104">
        <v>2040</v>
      </c>
      <c r="X102" s="104">
        <v>2041</v>
      </c>
      <c r="Y102" s="104">
        <v>2042</v>
      </c>
      <c r="Z102" s="104">
        <v>2043</v>
      </c>
      <c r="AA102" s="104">
        <v>2044</v>
      </c>
      <c r="AB102" s="104">
        <v>2045</v>
      </c>
      <c r="AC102" s="104">
        <v>2046</v>
      </c>
      <c r="AD102" s="104">
        <v>2047</v>
      </c>
      <c r="AE102" s="104">
        <v>2048</v>
      </c>
      <c r="AF102" s="104">
        <v>2049</v>
      </c>
      <c r="AG102" s="104">
        <v>2050</v>
      </c>
      <c r="AH102" s="104">
        <v>2051</v>
      </c>
      <c r="AI102" s="104">
        <v>2052</v>
      </c>
    </row>
    <row r="103" spans="2:35" ht="15" customHeight="1" x14ac:dyDescent="0.3">
      <c r="B103" s="173" t="s">
        <v>428</v>
      </c>
      <c r="C103" s="172" t="s">
        <v>443</v>
      </c>
      <c r="D103" s="172"/>
      <c r="E103" s="144">
        <f t="shared" ref="E103:AI103" si="12">IF(AND(E$102&gt;=$D$53,E$102&lt;=$D$54, E$102&gt;=$G$69, E$102&lt;=$G$70),$G$78,0)</f>
        <v>0</v>
      </c>
      <c r="F103" s="127">
        <f t="shared" si="12"/>
        <v>0</v>
      </c>
      <c r="G103" s="127">
        <f t="shared" si="12"/>
        <v>0</v>
      </c>
      <c r="H103" s="127">
        <f t="shared" si="12"/>
        <v>0.41151196124502182</v>
      </c>
      <c r="I103" s="127">
        <f t="shared" si="12"/>
        <v>0.41151196124502182</v>
      </c>
      <c r="J103" s="127">
        <f t="shared" si="12"/>
        <v>0.41151196124502182</v>
      </c>
      <c r="K103" s="127">
        <f t="shared" si="12"/>
        <v>0.41151196124502182</v>
      </c>
      <c r="L103" s="127">
        <f t="shared" si="12"/>
        <v>0.41151196124502182</v>
      </c>
      <c r="M103" s="127">
        <f t="shared" si="12"/>
        <v>0.41151196124502182</v>
      </c>
      <c r="N103" s="127">
        <f t="shared" si="12"/>
        <v>0.41151196124502182</v>
      </c>
      <c r="O103" s="127">
        <f t="shared" si="12"/>
        <v>0.41151196124502182</v>
      </c>
      <c r="P103" s="127">
        <f t="shared" si="12"/>
        <v>0.41151196124502182</v>
      </c>
      <c r="Q103" s="127">
        <f t="shared" si="12"/>
        <v>0.41151196124502182</v>
      </c>
      <c r="R103" s="127">
        <f t="shared" si="12"/>
        <v>0.41151196124502182</v>
      </c>
      <c r="S103" s="127">
        <f t="shared" si="12"/>
        <v>0.41151196124502182</v>
      </c>
      <c r="T103" s="127">
        <f t="shared" si="12"/>
        <v>0.41151196124502182</v>
      </c>
      <c r="U103" s="127">
        <f t="shared" si="12"/>
        <v>0.41151196124502182</v>
      </c>
      <c r="V103" s="127">
        <f t="shared" si="12"/>
        <v>0.41151196124502182</v>
      </c>
      <c r="W103" s="127">
        <f t="shared" si="12"/>
        <v>0</v>
      </c>
      <c r="X103" s="127">
        <f t="shared" si="12"/>
        <v>0</v>
      </c>
      <c r="Y103" s="127">
        <f t="shared" si="12"/>
        <v>0</v>
      </c>
      <c r="Z103" s="127">
        <f t="shared" si="12"/>
        <v>0</v>
      </c>
      <c r="AA103" s="127">
        <f t="shared" si="12"/>
        <v>0</v>
      </c>
      <c r="AB103" s="127">
        <f t="shared" si="12"/>
        <v>0</v>
      </c>
      <c r="AC103" s="127">
        <f t="shared" si="12"/>
        <v>0</v>
      </c>
      <c r="AD103" s="127">
        <f t="shared" si="12"/>
        <v>0</v>
      </c>
      <c r="AE103" s="127">
        <f t="shared" si="12"/>
        <v>0</v>
      </c>
      <c r="AF103" s="127">
        <f t="shared" si="12"/>
        <v>0</v>
      </c>
      <c r="AG103" s="127">
        <f t="shared" si="12"/>
        <v>0</v>
      </c>
      <c r="AH103" s="127">
        <f t="shared" si="12"/>
        <v>0</v>
      </c>
      <c r="AI103" s="128">
        <f t="shared" si="12"/>
        <v>0</v>
      </c>
    </row>
    <row r="104" spans="2:35" ht="15" customHeight="1" x14ac:dyDescent="0.3">
      <c r="B104" s="174"/>
      <c r="C104" s="170" t="s">
        <v>444</v>
      </c>
      <c r="D104" s="170"/>
      <c r="E104" s="145">
        <f t="shared" ref="E104:AI104" si="13">IF(AND(E$102&gt;=$D$53,E$102&lt;=$D$54, E$102&gt;=$H$69, E$102&lt;=$H$70),$H$78,0)</f>
        <v>0</v>
      </c>
      <c r="F104" s="146">
        <f t="shared" si="13"/>
        <v>0</v>
      </c>
      <c r="G104" s="146">
        <f t="shared" si="13"/>
        <v>0</v>
      </c>
      <c r="H104" s="146">
        <f t="shared" si="13"/>
        <v>0</v>
      </c>
      <c r="I104" s="146">
        <f t="shared" si="13"/>
        <v>0</v>
      </c>
      <c r="J104" s="146">
        <f t="shared" si="13"/>
        <v>0</v>
      </c>
      <c r="K104" s="146">
        <f t="shared" si="13"/>
        <v>0</v>
      </c>
      <c r="L104" s="146">
        <f t="shared" si="13"/>
        <v>0</v>
      </c>
      <c r="M104" s="146">
        <f t="shared" si="13"/>
        <v>0</v>
      </c>
      <c r="N104" s="146">
        <f t="shared" si="13"/>
        <v>0</v>
      </c>
      <c r="O104" s="146">
        <f t="shared" si="13"/>
        <v>0</v>
      </c>
      <c r="P104" s="146">
        <f t="shared" si="13"/>
        <v>0</v>
      </c>
      <c r="Q104" s="146">
        <f t="shared" si="13"/>
        <v>0</v>
      </c>
      <c r="R104" s="146">
        <f t="shared" si="13"/>
        <v>0</v>
      </c>
      <c r="S104" s="146">
        <f t="shared" si="13"/>
        <v>0</v>
      </c>
      <c r="T104" s="146">
        <f t="shared" si="13"/>
        <v>0</v>
      </c>
      <c r="U104" s="146">
        <f t="shared" si="13"/>
        <v>0</v>
      </c>
      <c r="V104" s="146">
        <f t="shared" si="13"/>
        <v>0</v>
      </c>
      <c r="W104" s="146">
        <f t="shared" si="13"/>
        <v>0</v>
      </c>
      <c r="X104" s="146">
        <f t="shared" si="13"/>
        <v>0</v>
      </c>
      <c r="Y104" s="146">
        <f t="shared" si="13"/>
        <v>0</v>
      </c>
      <c r="Z104" s="146">
        <f t="shared" si="13"/>
        <v>0</v>
      </c>
      <c r="AA104" s="146">
        <f t="shared" si="13"/>
        <v>0</v>
      </c>
      <c r="AB104" s="146">
        <f t="shared" si="13"/>
        <v>0</v>
      </c>
      <c r="AC104" s="146">
        <f t="shared" si="13"/>
        <v>0</v>
      </c>
      <c r="AD104" s="146">
        <f t="shared" si="13"/>
        <v>0</v>
      </c>
      <c r="AE104" s="146">
        <f t="shared" si="13"/>
        <v>0</v>
      </c>
      <c r="AF104" s="146">
        <f t="shared" si="13"/>
        <v>0</v>
      </c>
      <c r="AG104" s="146">
        <f t="shared" si="13"/>
        <v>0</v>
      </c>
      <c r="AH104" s="146">
        <f t="shared" si="13"/>
        <v>0</v>
      </c>
      <c r="AI104" s="122">
        <f t="shared" si="13"/>
        <v>0</v>
      </c>
    </row>
    <row r="105" spans="2:35" ht="15" customHeight="1" x14ac:dyDescent="0.3">
      <c r="B105" s="174"/>
      <c r="C105" s="170" t="s">
        <v>432</v>
      </c>
      <c r="D105" s="170"/>
      <c r="E105" s="145">
        <f t="shared" ref="E105:AI105" si="14">IF(E$84=$G$70,$G$79,0)</f>
        <v>0</v>
      </c>
      <c r="F105" s="146">
        <f t="shared" si="14"/>
        <v>0</v>
      </c>
      <c r="G105" s="146">
        <f t="shared" si="14"/>
        <v>0</v>
      </c>
      <c r="H105" s="146">
        <f t="shared" si="14"/>
        <v>0</v>
      </c>
      <c r="I105" s="146">
        <f t="shared" si="14"/>
        <v>0</v>
      </c>
      <c r="J105" s="146">
        <f t="shared" si="14"/>
        <v>0</v>
      </c>
      <c r="K105" s="146">
        <f t="shared" si="14"/>
        <v>0</v>
      </c>
      <c r="L105" s="146">
        <f t="shared" si="14"/>
        <v>0</v>
      </c>
      <c r="M105" s="146">
        <f t="shared" si="14"/>
        <v>0</v>
      </c>
      <c r="N105" s="146">
        <f t="shared" si="14"/>
        <v>0</v>
      </c>
      <c r="O105" s="146">
        <f t="shared" si="14"/>
        <v>0</v>
      </c>
      <c r="P105" s="146">
        <f t="shared" si="14"/>
        <v>0</v>
      </c>
      <c r="Q105" s="146">
        <f t="shared" si="14"/>
        <v>0</v>
      </c>
      <c r="R105" s="146">
        <f t="shared" si="14"/>
        <v>0</v>
      </c>
      <c r="S105" s="146">
        <f t="shared" si="14"/>
        <v>0</v>
      </c>
      <c r="T105" s="146">
        <f t="shared" si="14"/>
        <v>0</v>
      </c>
      <c r="U105" s="146">
        <f t="shared" si="14"/>
        <v>0</v>
      </c>
      <c r="V105" s="146">
        <f t="shared" si="14"/>
        <v>5.2238725948235984</v>
      </c>
      <c r="W105" s="146">
        <f t="shared" si="14"/>
        <v>0</v>
      </c>
      <c r="X105" s="146">
        <f t="shared" si="14"/>
        <v>0</v>
      </c>
      <c r="Y105" s="146">
        <f t="shared" si="14"/>
        <v>0</v>
      </c>
      <c r="Z105" s="146">
        <f t="shared" si="14"/>
        <v>0</v>
      </c>
      <c r="AA105" s="146">
        <f t="shared" si="14"/>
        <v>0</v>
      </c>
      <c r="AB105" s="146">
        <f t="shared" si="14"/>
        <v>0</v>
      </c>
      <c r="AC105" s="146">
        <f t="shared" si="14"/>
        <v>0</v>
      </c>
      <c r="AD105" s="146">
        <f t="shared" si="14"/>
        <v>0</v>
      </c>
      <c r="AE105" s="146">
        <f t="shared" si="14"/>
        <v>0</v>
      </c>
      <c r="AF105" s="146">
        <f t="shared" si="14"/>
        <v>0</v>
      </c>
      <c r="AG105" s="146">
        <f t="shared" si="14"/>
        <v>0</v>
      </c>
      <c r="AH105" s="146">
        <f t="shared" si="14"/>
        <v>0</v>
      </c>
      <c r="AI105" s="122">
        <f t="shared" si="14"/>
        <v>0</v>
      </c>
    </row>
    <row r="106" spans="2:35" ht="15" customHeight="1" x14ac:dyDescent="0.3">
      <c r="B106" s="174"/>
      <c r="C106" s="170" t="s">
        <v>433</v>
      </c>
      <c r="D106" s="170"/>
      <c r="E106" s="145">
        <f t="shared" ref="E106:AI106" si="15">IF(E$84=$H$70,$H$79,0)</f>
        <v>0</v>
      </c>
      <c r="F106" s="146">
        <f t="shared" si="15"/>
        <v>0</v>
      </c>
      <c r="G106" s="146">
        <f t="shared" si="15"/>
        <v>0</v>
      </c>
      <c r="H106" s="146">
        <f t="shared" si="15"/>
        <v>0</v>
      </c>
      <c r="I106" s="146">
        <f t="shared" si="15"/>
        <v>0</v>
      </c>
      <c r="J106" s="146">
        <f t="shared" si="15"/>
        <v>0</v>
      </c>
      <c r="K106" s="146">
        <f t="shared" si="15"/>
        <v>0</v>
      </c>
      <c r="L106" s="146">
        <f t="shared" si="15"/>
        <v>0</v>
      </c>
      <c r="M106" s="146">
        <f t="shared" si="15"/>
        <v>0</v>
      </c>
      <c r="N106" s="146">
        <f t="shared" si="15"/>
        <v>0</v>
      </c>
      <c r="O106" s="146">
        <f t="shared" si="15"/>
        <v>0</v>
      </c>
      <c r="P106" s="146">
        <f t="shared" si="15"/>
        <v>0</v>
      </c>
      <c r="Q106" s="146">
        <f t="shared" si="15"/>
        <v>0</v>
      </c>
      <c r="R106" s="146">
        <f t="shared" si="15"/>
        <v>0</v>
      </c>
      <c r="S106" s="146">
        <f t="shared" si="15"/>
        <v>0</v>
      </c>
      <c r="T106" s="146">
        <f t="shared" si="15"/>
        <v>0</v>
      </c>
      <c r="U106" s="146">
        <f t="shared" si="15"/>
        <v>0</v>
      </c>
      <c r="V106" s="146">
        <f t="shared" si="15"/>
        <v>0</v>
      </c>
      <c r="W106" s="146">
        <f t="shared" si="15"/>
        <v>0</v>
      </c>
      <c r="X106" s="146">
        <f t="shared" si="15"/>
        <v>0</v>
      </c>
      <c r="Y106" s="146">
        <f t="shared" si="15"/>
        <v>0</v>
      </c>
      <c r="Z106" s="146">
        <f t="shared" si="15"/>
        <v>0</v>
      </c>
      <c r="AA106" s="146">
        <f t="shared" si="15"/>
        <v>0</v>
      </c>
      <c r="AB106" s="146">
        <f t="shared" si="15"/>
        <v>0</v>
      </c>
      <c r="AC106" s="146">
        <f t="shared" si="15"/>
        <v>0</v>
      </c>
      <c r="AD106" s="146">
        <f t="shared" si="15"/>
        <v>0</v>
      </c>
      <c r="AE106" s="146">
        <f t="shared" si="15"/>
        <v>0</v>
      </c>
      <c r="AF106" s="146">
        <f t="shared" si="15"/>
        <v>0</v>
      </c>
      <c r="AG106" s="146">
        <f t="shared" si="15"/>
        <v>0</v>
      </c>
      <c r="AH106" s="146">
        <f t="shared" si="15"/>
        <v>0</v>
      </c>
      <c r="AI106" s="122">
        <f t="shared" si="15"/>
        <v>0</v>
      </c>
    </row>
    <row r="107" spans="2:35" ht="15" customHeight="1" x14ac:dyDescent="0.3">
      <c r="B107" s="174"/>
      <c r="C107" s="170"/>
      <c r="D107" s="170"/>
      <c r="E107" s="145"/>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22"/>
    </row>
    <row r="108" spans="2:35" ht="15" customHeight="1" x14ac:dyDescent="0.3">
      <c r="B108" s="174"/>
      <c r="C108" s="170" t="s">
        <v>395</v>
      </c>
      <c r="D108" s="170"/>
      <c r="E108" s="147">
        <f>'ACC Inputs'!E4</f>
        <v>131.79844620666665</v>
      </c>
      <c r="F108" s="148">
        <f>'ACC Inputs'!F4</f>
        <v>141.7140826429482</v>
      </c>
      <c r="G108" s="148">
        <f>'ACC Inputs'!G4</f>
        <v>152.37570546045268</v>
      </c>
      <c r="H108" s="148">
        <f>'ACC Inputs'!H4</f>
        <v>163.83943770126069</v>
      </c>
      <c r="I108" s="148">
        <f>'ACC Inputs'!I4</f>
        <v>176.16562473098554</v>
      </c>
      <c r="J108" s="148">
        <f>'ACC Inputs'!J4</f>
        <v>189.4191518982467</v>
      </c>
      <c r="K108" s="148">
        <f>'ACC Inputs'!K4</f>
        <v>203.66978609272476</v>
      </c>
      <c r="L108" s="148">
        <f>'ACC Inputs'!L4</f>
        <v>218.99254299976741</v>
      </c>
      <c r="M108" s="148">
        <f>'ACC Inputs'!M4</f>
        <v>235.46808198478325</v>
      </c>
      <c r="N108" s="148">
        <f>'ACC Inputs'!N4</f>
        <v>253.1831306861051</v>
      </c>
      <c r="O108" s="148">
        <f>'ACC Inputs'!O4</f>
        <v>272.23094155138972</v>
      </c>
      <c r="P108" s="148">
        <f>'ACC Inputs'!P4</f>
        <v>292.71178272077259</v>
      </c>
      <c r="Q108" s="148">
        <f>'ACC Inputs'!Q4</f>
        <v>314.73346584079871</v>
      </c>
      <c r="R108" s="148">
        <f>'ACC Inputs'!R4</f>
        <v>338.41191358755475</v>
      </c>
      <c r="S108" s="148">
        <f>'ACC Inputs'!S4</f>
        <v>363.87176988645848</v>
      </c>
      <c r="T108" s="148">
        <f>'ACC Inputs'!T4</f>
        <v>391.24705604091633</v>
      </c>
      <c r="U108" s="148">
        <f>'ACC Inputs'!U4</f>
        <v>420.68187622372795</v>
      </c>
      <c r="V108" s="148">
        <f>'ACC Inputs'!V4</f>
        <v>452.3311760449597</v>
      </c>
      <c r="W108" s="148">
        <f>'ACC Inputs'!W4</f>
        <v>486.36155818940881</v>
      </c>
      <c r="X108" s="148">
        <f>'ACC Inputs'!X4</f>
        <v>522.95215941719187</v>
      </c>
      <c r="Y108" s="148">
        <f>'ACC Inputs'!Y4</f>
        <v>562.29559354401204</v>
      </c>
      <c r="Z108" s="148">
        <f>'ACC Inputs'!Z4</f>
        <v>604.5989653649732</v>
      </c>
      <c r="AA108" s="148">
        <f>'ACC Inputs'!AA4</f>
        <v>650.0849608592647</v>
      </c>
      <c r="AB108" s="148">
        <f>'ACC Inputs'!AB4</f>
        <v>698.99301941457657</v>
      </c>
      <c r="AC108" s="148">
        <f>'ACC Inputs'!AC4</f>
        <v>751.58059424186649</v>
      </c>
      <c r="AD108" s="148">
        <f>'ACC Inputs'!AD4</f>
        <v>808.12450761532966</v>
      </c>
      <c r="AE108" s="148">
        <f>'ACC Inputs'!AE4</f>
        <v>868.92240807158953</v>
      </c>
      <c r="AF108" s="148">
        <f>'ACC Inputs'!AF4</f>
        <v>934.29433723884199</v>
      </c>
      <c r="AG108" s="148">
        <f>'ACC Inputs'!AG4</f>
        <v>1004.5844145437777</v>
      </c>
      <c r="AH108" s="148">
        <f>'ACC Inputs'!AH4</f>
        <v>1080.162648664621</v>
      </c>
      <c r="AI108" s="129">
        <f>'ACC Inputs'!AI4</f>
        <v>1161.4268852658229</v>
      </c>
    </row>
    <row r="109" spans="2:35" ht="15" customHeight="1" x14ac:dyDescent="0.3">
      <c r="B109" s="174"/>
      <c r="C109" s="170" t="s">
        <v>446</v>
      </c>
      <c r="D109" s="170"/>
      <c r="E109" s="147">
        <f t="shared" ref="E109:AI109" si="16">E$108*E103</f>
        <v>0</v>
      </c>
      <c r="F109" s="148">
        <f t="shared" si="16"/>
        <v>0</v>
      </c>
      <c r="G109" s="148">
        <f t="shared" si="16"/>
        <v>0</v>
      </c>
      <c r="H109" s="148">
        <f t="shared" si="16"/>
        <v>67.421888337727353</v>
      </c>
      <c r="I109" s="148">
        <f t="shared" si="16"/>
        <v>72.494261737002375</v>
      </c>
      <c r="J109" s="148">
        <f t="shared" si="16"/>
        <v>77.948246695016195</v>
      </c>
      <c r="K109" s="148">
        <f t="shared" si="16"/>
        <v>83.812553121371238</v>
      </c>
      <c r="L109" s="148">
        <f t="shared" si="16"/>
        <v>90.118050867869059</v>
      </c>
      <c r="M109" s="148">
        <f t="shared" si="16"/>
        <v>96.89793222816175</v>
      </c>
      <c r="N109" s="148">
        <f t="shared" si="16"/>
        <v>104.18788666279377</v>
      </c>
      <c r="O109" s="148">
        <f t="shared" si="16"/>
        <v>112.02628866939129</v>
      </c>
      <c r="P109" s="148">
        <f t="shared" si="16"/>
        <v>120.45439978695181</v>
      </c>
      <c r="Q109" s="148">
        <f t="shared" si="16"/>
        <v>129.51658579759015</v>
      </c>
      <c r="R109" s="148">
        <f t="shared" si="16"/>
        <v>139.26055026909549</v>
      </c>
      <c r="S109" s="148">
        <f t="shared" si="16"/>
        <v>149.73758566767381</v>
      </c>
      <c r="T109" s="148">
        <f t="shared" si="16"/>
        <v>161.00284336273845</v>
      </c>
      <c r="U109" s="148">
        <f t="shared" si="16"/>
        <v>173.1156239450618</v>
      </c>
      <c r="V109" s="148">
        <f t="shared" si="16"/>
        <v>186.1396893865286</v>
      </c>
      <c r="W109" s="148">
        <f t="shared" si="16"/>
        <v>0</v>
      </c>
      <c r="X109" s="148">
        <f t="shared" si="16"/>
        <v>0</v>
      </c>
      <c r="Y109" s="148">
        <f t="shared" si="16"/>
        <v>0</v>
      </c>
      <c r="Z109" s="148">
        <f t="shared" si="16"/>
        <v>0</v>
      </c>
      <c r="AA109" s="148">
        <f t="shared" si="16"/>
        <v>0</v>
      </c>
      <c r="AB109" s="148">
        <f t="shared" si="16"/>
        <v>0</v>
      </c>
      <c r="AC109" s="148">
        <f t="shared" si="16"/>
        <v>0</v>
      </c>
      <c r="AD109" s="148">
        <f t="shared" si="16"/>
        <v>0</v>
      </c>
      <c r="AE109" s="148">
        <f t="shared" si="16"/>
        <v>0</v>
      </c>
      <c r="AF109" s="148">
        <f t="shared" si="16"/>
        <v>0</v>
      </c>
      <c r="AG109" s="148">
        <f t="shared" si="16"/>
        <v>0</v>
      </c>
      <c r="AH109" s="148">
        <f t="shared" si="16"/>
        <v>0</v>
      </c>
      <c r="AI109" s="129">
        <f t="shared" si="16"/>
        <v>0</v>
      </c>
    </row>
    <row r="110" spans="2:35" ht="15" customHeight="1" x14ac:dyDescent="0.3">
      <c r="B110" s="174"/>
      <c r="C110" s="170" t="s">
        <v>447</v>
      </c>
      <c r="D110" s="170"/>
      <c r="E110" s="147">
        <f t="shared" ref="E110:AI110" si="17">E$108*E104</f>
        <v>0</v>
      </c>
      <c r="F110" s="148">
        <f t="shared" si="17"/>
        <v>0</v>
      </c>
      <c r="G110" s="148">
        <f t="shared" si="17"/>
        <v>0</v>
      </c>
      <c r="H110" s="148">
        <f t="shared" si="17"/>
        <v>0</v>
      </c>
      <c r="I110" s="148">
        <f t="shared" si="17"/>
        <v>0</v>
      </c>
      <c r="J110" s="148">
        <f t="shared" si="17"/>
        <v>0</v>
      </c>
      <c r="K110" s="148">
        <f t="shared" si="17"/>
        <v>0</v>
      </c>
      <c r="L110" s="148">
        <f t="shared" si="17"/>
        <v>0</v>
      </c>
      <c r="M110" s="148">
        <f t="shared" si="17"/>
        <v>0</v>
      </c>
      <c r="N110" s="148">
        <f t="shared" si="17"/>
        <v>0</v>
      </c>
      <c r="O110" s="148">
        <f t="shared" si="17"/>
        <v>0</v>
      </c>
      <c r="P110" s="148">
        <f t="shared" si="17"/>
        <v>0</v>
      </c>
      <c r="Q110" s="148">
        <f t="shared" si="17"/>
        <v>0</v>
      </c>
      <c r="R110" s="148">
        <f t="shared" si="17"/>
        <v>0</v>
      </c>
      <c r="S110" s="148">
        <f t="shared" si="17"/>
        <v>0</v>
      </c>
      <c r="T110" s="148">
        <f t="shared" si="17"/>
        <v>0</v>
      </c>
      <c r="U110" s="148">
        <f t="shared" si="17"/>
        <v>0</v>
      </c>
      <c r="V110" s="148">
        <f t="shared" si="17"/>
        <v>0</v>
      </c>
      <c r="W110" s="148">
        <f t="shared" si="17"/>
        <v>0</v>
      </c>
      <c r="X110" s="148">
        <f t="shared" si="17"/>
        <v>0</v>
      </c>
      <c r="Y110" s="148">
        <f t="shared" si="17"/>
        <v>0</v>
      </c>
      <c r="Z110" s="148">
        <f t="shared" si="17"/>
        <v>0</v>
      </c>
      <c r="AA110" s="148">
        <f t="shared" si="17"/>
        <v>0</v>
      </c>
      <c r="AB110" s="148">
        <f t="shared" si="17"/>
        <v>0</v>
      </c>
      <c r="AC110" s="148">
        <f t="shared" si="17"/>
        <v>0</v>
      </c>
      <c r="AD110" s="148">
        <f t="shared" si="17"/>
        <v>0</v>
      </c>
      <c r="AE110" s="148">
        <f t="shared" si="17"/>
        <v>0</v>
      </c>
      <c r="AF110" s="148">
        <f t="shared" si="17"/>
        <v>0</v>
      </c>
      <c r="AG110" s="148">
        <f t="shared" si="17"/>
        <v>0</v>
      </c>
      <c r="AH110" s="148">
        <f t="shared" si="17"/>
        <v>0</v>
      </c>
      <c r="AI110" s="129">
        <f t="shared" si="17"/>
        <v>0</v>
      </c>
    </row>
    <row r="111" spans="2:35" ht="15" customHeight="1" x14ac:dyDescent="0.3">
      <c r="B111" s="174"/>
      <c r="C111" s="170" t="s">
        <v>448</v>
      </c>
      <c r="D111" s="170"/>
      <c r="E111" s="147">
        <f t="shared" ref="E111:AI111" si="18">E$108*E105</f>
        <v>0</v>
      </c>
      <c r="F111" s="148">
        <f t="shared" si="18"/>
        <v>0</v>
      </c>
      <c r="G111" s="148">
        <f t="shared" si="18"/>
        <v>0</v>
      </c>
      <c r="H111" s="148">
        <f t="shared" si="18"/>
        <v>0</v>
      </c>
      <c r="I111" s="148">
        <f t="shared" si="18"/>
        <v>0</v>
      </c>
      <c r="J111" s="148">
        <f t="shared" si="18"/>
        <v>0</v>
      </c>
      <c r="K111" s="148">
        <f t="shared" si="18"/>
        <v>0</v>
      </c>
      <c r="L111" s="148">
        <f t="shared" si="18"/>
        <v>0</v>
      </c>
      <c r="M111" s="148">
        <f t="shared" si="18"/>
        <v>0</v>
      </c>
      <c r="N111" s="148">
        <f t="shared" si="18"/>
        <v>0</v>
      </c>
      <c r="O111" s="148">
        <f t="shared" si="18"/>
        <v>0</v>
      </c>
      <c r="P111" s="148">
        <f t="shared" si="18"/>
        <v>0</v>
      </c>
      <c r="Q111" s="148">
        <f t="shared" si="18"/>
        <v>0</v>
      </c>
      <c r="R111" s="148">
        <f t="shared" si="18"/>
        <v>0</v>
      </c>
      <c r="S111" s="148">
        <f t="shared" si="18"/>
        <v>0</v>
      </c>
      <c r="T111" s="148">
        <f t="shared" si="18"/>
        <v>0</v>
      </c>
      <c r="U111" s="148">
        <f t="shared" si="18"/>
        <v>0</v>
      </c>
      <c r="V111" s="148">
        <f t="shared" si="18"/>
        <v>2362.9204343255938</v>
      </c>
      <c r="W111" s="148">
        <f t="shared" si="18"/>
        <v>0</v>
      </c>
      <c r="X111" s="148">
        <f t="shared" si="18"/>
        <v>0</v>
      </c>
      <c r="Y111" s="148">
        <f t="shared" si="18"/>
        <v>0</v>
      </c>
      <c r="Z111" s="148">
        <f t="shared" si="18"/>
        <v>0</v>
      </c>
      <c r="AA111" s="148">
        <f t="shared" si="18"/>
        <v>0</v>
      </c>
      <c r="AB111" s="148">
        <f t="shared" si="18"/>
        <v>0</v>
      </c>
      <c r="AC111" s="148">
        <f t="shared" si="18"/>
        <v>0</v>
      </c>
      <c r="AD111" s="148">
        <f t="shared" si="18"/>
        <v>0</v>
      </c>
      <c r="AE111" s="148">
        <f t="shared" si="18"/>
        <v>0</v>
      </c>
      <c r="AF111" s="148">
        <f t="shared" si="18"/>
        <v>0</v>
      </c>
      <c r="AG111" s="148">
        <f t="shared" si="18"/>
        <v>0</v>
      </c>
      <c r="AH111" s="148">
        <f t="shared" si="18"/>
        <v>0</v>
      </c>
      <c r="AI111" s="129">
        <f t="shared" si="18"/>
        <v>0</v>
      </c>
    </row>
    <row r="112" spans="2:35" ht="15" customHeight="1" x14ac:dyDescent="0.3">
      <c r="B112" s="174"/>
      <c r="C112" s="170" t="s">
        <v>449</v>
      </c>
      <c r="D112" s="170"/>
      <c r="E112" s="147">
        <f t="shared" ref="E112:AI112" si="19">E$108*E106</f>
        <v>0</v>
      </c>
      <c r="F112" s="148">
        <f t="shared" si="19"/>
        <v>0</v>
      </c>
      <c r="G112" s="148">
        <f t="shared" si="19"/>
        <v>0</v>
      </c>
      <c r="H112" s="148">
        <f t="shared" si="19"/>
        <v>0</v>
      </c>
      <c r="I112" s="148">
        <f t="shared" si="19"/>
        <v>0</v>
      </c>
      <c r="J112" s="148">
        <f t="shared" si="19"/>
        <v>0</v>
      </c>
      <c r="K112" s="148">
        <f t="shared" si="19"/>
        <v>0</v>
      </c>
      <c r="L112" s="148">
        <f t="shared" si="19"/>
        <v>0</v>
      </c>
      <c r="M112" s="148">
        <f t="shared" si="19"/>
        <v>0</v>
      </c>
      <c r="N112" s="148">
        <f t="shared" si="19"/>
        <v>0</v>
      </c>
      <c r="O112" s="148">
        <f t="shared" si="19"/>
        <v>0</v>
      </c>
      <c r="P112" s="148">
        <f t="shared" si="19"/>
        <v>0</v>
      </c>
      <c r="Q112" s="148">
        <f t="shared" si="19"/>
        <v>0</v>
      </c>
      <c r="R112" s="148">
        <f t="shared" si="19"/>
        <v>0</v>
      </c>
      <c r="S112" s="148">
        <f t="shared" si="19"/>
        <v>0</v>
      </c>
      <c r="T112" s="148">
        <f t="shared" si="19"/>
        <v>0</v>
      </c>
      <c r="U112" s="148">
        <f t="shared" si="19"/>
        <v>0</v>
      </c>
      <c r="V112" s="148">
        <f t="shared" si="19"/>
        <v>0</v>
      </c>
      <c r="W112" s="148">
        <f t="shared" si="19"/>
        <v>0</v>
      </c>
      <c r="X112" s="148">
        <f t="shared" si="19"/>
        <v>0</v>
      </c>
      <c r="Y112" s="148">
        <f t="shared" si="19"/>
        <v>0</v>
      </c>
      <c r="Z112" s="148">
        <f t="shared" si="19"/>
        <v>0</v>
      </c>
      <c r="AA112" s="148">
        <f t="shared" si="19"/>
        <v>0</v>
      </c>
      <c r="AB112" s="148">
        <f t="shared" si="19"/>
        <v>0</v>
      </c>
      <c r="AC112" s="148">
        <f t="shared" si="19"/>
        <v>0</v>
      </c>
      <c r="AD112" s="148">
        <f t="shared" si="19"/>
        <v>0</v>
      </c>
      <c r="AE112" s="148">
        <f t="shared" si="19"/>
        <v>0</v>
      </c>
      <c r="AF112" s="148">
        <f t="shared" si="19"/>
        <v>0</v>
      </c>
      <c r="AG112" s="148">
        <f t="shared" si="19"/>
        <v>0</v>
      </c>
      <c r="AH112" s="148">
        <f t="shared" si="19"/>
        <v>0</v>
      </c>
      <c r="AI112" s="129">
        <f t="shared" si="19"/>
        <v>0</v>
      </c>
    </row>
    <row r="113" spans="2:35" ht="15" customHeight="1" x14ac:dyDescent="0.3">
      <c r="B113" s="174"/>
      <c r="C113" s="126"/>
      <c r="D113" s="126"/>
      <c r="E113" s="147"/>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29"/>
    </row>
    <row r="114" spans="2:35" ht="15" customHeight="1" x14ac:dyDescent="0.3">
      <c r="B114" s="174"/>
      <c r="C114" s="1" t="s">
        <v>518</v>
      </c>
      <c r="D114" s="126"/>
      <c r="E114" s="147">
        <f>(E109/(1+$D$58)^(E$102-$D$69+0.5))</f>
        <v>0</v>
      </c>
      <c r="F114" s="148">
        <f t="shared" ref="F114:AI114" si="20">(F109/(1+$D$58)^(F$102-$D$69+0.5))</f>
        <v>0</v>
      </c>
      <c r="G114" s="148">
        <f t="shared" si="20"/>
        <v>0</v>
      </c>
      <c r="H114" s="148">
        <f t="shared" si="20"/>
        <v>65.075890018759793</v>
      </c>
      <c r="I114" s="148">
        <f t="shared" si="20"/>
        <v>65.187037585713156</v>
      </c>
      <c r="J114" s="148">
        <f t="shared" si="20"/>
        <v>65.298374989204078</v>
      </c>
      <c r="K114" s="148">
        <f t="shared" si="20"/>
        <v>65.409902553467361</v>
      </c>
      <c r="L114" s="148">
        <f t="shared" si="20"/>
        <v>65.521620603291609</v>
      </c>
      <c r="M114" s="148">
        <f t="shared" si="20"/>
        <v>65.633529464020171</v>
      </c>
      <c r="N114" s="148">
        <f t="shared" si="20"/>
        <v>65.745629461552042</v>
      </c>
      <c r="O114" s="148">
        <f t="shared" si="20"/>
        <v>65.857920922342842</v>
      </c>
      <c r="P114" s="148">
        <f t="shared" si="20"/>
        <v>65.970404173405782</v>
      </c>
      <c r="Q114" s="148">
        <f t="shared" si="20"/>
        <v>66.083079542312603</v>
      </c>
      <c r="R114" s="148">
        <f t="shared" si="20"/>
        <v>66.195947357194498</v>
      </c>
      <c r="S114" s="148">
        <f t="shared" si="20"/>
        <v>66.309007946743179</v>
      </c>
      <c r="T114" s="148">
        <f t="shared" si="20"/>
        <v>66.422261640211616</v>
      </c>
      <c r="U114" s="148">
        <f t="shared" si="20"/>
        <v>66.535708767415258</v>
      </c>
      <c r="V114" s="148">
        <f t="shared" si="20"/>
        <v>66.649349658732817</v>
      </c>
      <c r="W114" s="148">
        <f t="shared" si="20"/>
        <v>0</v>
      </c>
      <c r="X114" s="148">
        <f t="shared" si="20"/>
        <v>0</v>
      </c>
      <c r="Y114" s="148">
        <f t="shared" si="20"/>
        <v>0</v>
      </c>
      <c r="Z114" s="148">
        <f t="shared" si="20"/>
        <v>0</v>
      </c>
      <c r="AA114" s="148">
        <f t="shared" si="20"/>
        <v>0</v>
      </c>
      <c r="AB114" s="148">
        <f t="shared" si="20"/>
        <v>0</v>
      </c>
      <c r="AC114" s="148">
        <f t="shared" si="20"/>
        <v>0</v>
      </c>
      <c r="AD114" s="148">
        <f t="shared" si="20"/>
        <v>0</v>
      </c>
      <c r="AE114" s="148">
        <f t="shared" si="20"/>
        <v>0</v>
      </c>
      <c r="AF114" s="148">
        <f t="shared" si="20"/>
        <v>0</v>
      </c>
      <c r="AG114" s="148">
        <f t="shared" si="20"/>
        <v>0</v>
      </c>
      <c r="AH114" s="148">
        <f t="shared" si="20"/>
        <v>0</v>
      </c>
      <c r="AI114" s="129">
        <f t="shared" si="20"/>
        <v>0</v>
      </c>
    </row>
    <row r="115" spans="2:35" ht="15" customHeight="1" x14ac:dyDescent="0.3">
      <c r="B115" s="174"/>
      <c r="C115" s="170" t="s">
        <v>519</v>
      </c>
      <c r="D115" s="170"/>
      <c r="E115" s="147">
        <f>(E110/(1+$D$58)^(E$102-$D$69+0.5))</f>
        <v>0</v>
      </c>
      <c r="F115" s="148">
        <f t="shared" ref="F115:AI115" si="21">(F110/(1+$D$58)^(F$102-$D$69+0.5))</f>
        <v>0</v>
      </c>
      <c r="G115" s="148">
        <f t="shared" si="21"/>
        <v>0</v>
      </c>
      <c r="H115" s="148">
        <f t="shared" si="21"/>
        <v>0</v>
      </c>
      <c r="I115" s="148">
        <f t="shared" si="21"/>
        <v>0</v>
      </c>
      <c r="J115" s="148">
        <f t="shared" si="21"/>
        <v>0</v>
      </c>
      <c r="K115" s="148">
        <f t="shared" si="21"/>
        <v>0</v>
      </c>
      <c r="L115" s="148">
        <f t="shared" si="21"/>
        <v>0</v>
      </c>
      <c r="M115" s="148">
        <f t="shared" si="21"/>
        <v>0</v>
      </c>
      <c r="N115" s="148">
        <f t="shared" si="21"/>
        <v>0</v>
      </c>
      <c r="O115" s="148">
        <f t="shared" si="21"/>
        <v>0</v>
      </c>
      <c r="P115" s="148">
        <f t="shared" si="21"/>
        <v>0</v>
      </c>
      <c r="Q115" s="148">
        <f t="shared" si="21"/>
        <v>0</v>
      </c>
      <c r="R115" s="148">
        <f t="shared" si="21"/>
        <v>0</v>
      </c>
      <c r="S115" s="148">
        <f t="shared" si="21"/>
        <v>0</v>
      </c>
      <c r="T115" s="148">
        <f t="shared" si="21"/>
        <v>0</v>
      </c>
      <c r="U115" s="148">
        <f t="shared" si="21"/>
        <v>0</v>
      </c>
      <c r="V115" s="148">
        <f t="shared" si="21"/>
        <v>0</v>
      </c>
      <c r="W115" s="148">
        <f t="shared" si="21"/>
        <v>0</v>
      </c>
      <c r="X115" s="148">
        <f t="shared" si="21"/>
        <v>0</v>
      </c>
      <c r="Y115" s="148">
        <f t="shared" si="21"/>
        <v>0</v>
      </c>
      <c r="Z115" s="148">
        <f t="shared" si="21"/>
        <v>0</v>
      </c>
      <c r="AA115" s="148">
        <f t="shared" si="21"/>
        <v>0</v>
      </c>
      <c r="AB115" s="148">
        <f t="shared" si="21"/>
        <v>0</v>
      </c>
      <c r="AC115" s="148">
        <f t="shared" si="21"/>
        <v>0</v>
      </c>
      <c r="AD115" s="148">
        <f t="shared" si="21"/>
        <v>0</v>
      </c>
      <c r="AE115" s="148">
        <f t="shared" si="21"/>
        <v>0</v>
      </c>
      <c r="AF115" s="148">
        <f t="shared" si="21"/>
        <v>0</v>
      </c>
      <c r="AG115" s="148">
        <f t="shared" si="21"/>
        <v>0</v>
      </c>
      <c r="AH115" s="148">
        <f t="shared" si="21"/>
        <v>0</v>
      </c>
      <c r="AI115" s="129">
        <f t="shared" si="21"/>
        <v>0</v>
      </c>
    </row>
    <row r="116" spans="2:35" ht="15" customHeight="1" x14ac:dyDescent="0.3">
      <c r="B116" s="174"/>
      <c r="C116" s="170" t="s">
        <v>520</v>
      </c>
      <c r="D116" s="170"/>
      <c r="E116" s="147">
        <f>(E111/(1+$D$58)^(E$102-$D$69+0.5))</f>
        <v>0</v>
      </c>
      <c r="F116" s="148">
        <f t="shared" ref="F116:AI116" si="22">(F111/(1+$D$58)^(F$102-$D$69+0.5))</f>
        <v>0</v>
      </c>
      <c r="G116" s="148">
        <f t="shared" si="22"/>
        <v>0</v>
      </c>
      <c r="H116" s="148">
        <f t="shared" si="22"/>
        <v>0</v>
      </c>
      <c r="I116" s="148">
        <f t="shared" si="22"/>
        <v>0</v>
      </c>
      <c r="J116" s="148">
        <f t="shared" si="22"/>
        <v>0</v>
      </c>
      <c r="K116" s="148">
        <f t="shared" si="22"/>
        <v>0</v>
      </c>
      <c r="L116" s="148">
        <f t="shared" si="22"/>
        <v>0</v>
      </c>
      <c r="M116" s="148">
        <f t="shared" si="22"/>
        <v>0</v>
      </c>
      <c r="N116" s="148">
        <f t="shared" si="22"/>
        <v>0</v>
      </c>
      <c r="O116" s="148">
        <f t="shared" si="22"/>
        <v>0</v>
      </c>
      <c r="P116" s="148">
        <f t="shared" si="22"/>
        <v>0</v>
      </c>
      <c r="Q116" s="148">
        <f t="shared" si="22"/>
        <v>0</v>
      </c>
      <c r="R116" s="148">
        <f t="shared" si="22"/>
        <v>0</v>
      </c>
      <c r="S116" s="148">
        <f t="shared" si="22"/>
        <v>0</v>
      </c>
      <c r="T116" s="148">
        <f t="shared" si="22"/>
        <v>0</v>
      </c>
      <c r="U116" s="148">
        <f t="shared" si="22"/>
        <v>0</v>
      </c>
      <c r="V116" s="148">
        <f t="shared" si="22"/>
        <v>846.06948019614049</v>
      </c>
      <c r="W116" s="148">
        <f t="shared" si="22"/>
        <v>0</v>
      </c>
      <c r="X116" s="148">
        <f t="shared" si="22"/>
        <v>0</v>
      </c>
      <c r="Y116" s="148">
        <f t="shared" si="22"/>
        <v>0</v>
      </c>
      <c r="Z116" s="148">
        <f t="shared" si="22"/>
        <v>0</v>
      </c>
      <c r="AA116" s="148">
        <f t="shared" si="22"/>
        <v>0</v>
      </c>
      <c r="AB116" s="148">
        <f t="shared" si="22"/>
        <v>0</v>
      </c>
      <c r="AC116" s="148">
        <f t="shared" si="22"/>
        <v>0</v>
      </c>
      <c r="AD116" s="148">
        <f t="shared" si="22"/>
        <v>0</v>
      </c>
      <c r="AE116" s="148">
        <f t="shared" si="22"/>
        <v>0</v>
      </c>
      <c r="AF116" s="148">
        <f t="shared" si="22"/>
        <v>0</v>
      </c>
      <c r="AG116" s="148">
        <f t="shared" si="22"/>
        <v>0</v>
      </c>
      <c r="AH116" s="148">
        <f t="shared" si="22"/>
        <v>0</v>
      </c>
      <c r="AI116" s="129">
        <f t="shared" si="22"/>
        <v>0</v>
      </c>
    </row>
    <row r="117" spans="2:35" ht="15" customHeight="1" thickBot="1" x14ac:dyDescent="0.35">
      <c r="B117" s="175"/>
      <c r="C117" s="157" t="s">
        <v>521</v>
      </c>
      <c r="D117" s="157"/>
      <c r="E117" s="149">
        <f>(E112/(1+$D$58)^(E$102-$D$69+0.5))</f>
        <v>0</v>
      </c>
      <c r="F117" s="130">
        <f t="shared" ref="F117:AI117" si="23">(F112/(1+$D$58)^(F$102-$D$69+0.5))</f>
        <v>0</v>
      </c>
      <c r="G117" s="130">
        <f t="shared" si="23"/>
        <v>0</v>
      </c>
      <c r="H117" s="130">
        <f t="shared" si="23"/>
        <v>0</v>
      </c>
      <c r="I117" s="130">
        <f t="shared" si="23"/>
        <v>0</v>
      </c>
      <c r="J117" s="130">
        <f t="shared" si="23"/>
        <v>0</v>
      </c>
      <c r="K117" s="130">
        <f t="shared" si="23"/>
        <v>0</v>
      </c>
      <c r="L117" s="130">
        <f t="shared" si="23"/>
        <v>0</v>
      </c>
      <c r="M117" s="130">
        <f t="shared" si="23"/>
        <v>0</v>
      </c>
      <c r="N117" s="130">
        <f t="shared" si="23"/>
        <v>0</v>
      </c>
      <c r="O117" s="130">
        <f t="shared" si="23"/>
        <v>0</v>
      </c>
      <c r="P117" s="130">
        <f t="shared" si="23"/>
        <v>0</v>
      </c>
      <c r="Q117" s="130">
        <f t="shared" si="23"/>
        <v>0</v>
      </c>
      <c r="R117" s="130">
        <f t="shared" si="23"/>
        <v>0</v>
      </c>
      <c r="S117" s="130">
        <f t="shared" si="23"/>
        <v>0</v>
      </c>
      <c r="T117" s="130">
        <f t="shared" si="23"/>
        <v>0</v>
      </c>
      <c r="U117" s="130">
        <f t="shared" si="23"/>
        <v>0</v>
      </c>
      <c r="V117" s="130">
        <f t="shared" si="23"/>
        <v>0</v>
      </c>
      <c r="W117" s="130">
        <f t="shared" si="23"/>
        <v>0</v>
      </c>
      <c r="X117" s="130">
        <f t="shared" si="23"/>
        <v>0</v>
      </c>
      <c r="Y117" s="130">
        <f t="shared" si="23"/>
        <v>0</v>
      </c>
      <c r="Z117" s="130">
        <f t="shared" si="23"/>
        <v>0</v>
      </c>
      <c r="AA117" s="130">
        <f t="shared" si="23"/>
        <v>0</v>
      </c>
      <c r="AB117" s="130">
        <f t="shared" si="23"/>
        <v>0</v>
      </c>
      <c r="AC117" s="130">
        <f t="shared" si="23"/>
        <v>0</v>
      </c>
      <c r="AD117" s="130">
        <f t="shared" si="23"/>
        <v>0</v>
      </c>
      <c r="AE117" s="130">
        <f t="shared" si="23"/>
        <v>0</v>
      </c>
      <c r="AF117" s="130">
        <f t="shared" si="23"/>
        <v>0</v>
      </c>
      <c r="AG117" s="130">
        <f t="shared" si="23"/>
        <v>0</v>
      </c>
      <c r="AH117" s="130">
        <f t="shared" si="23"/>
        <v>0</v>
      </c>
      <c r="AI117" s="131">
        <f t="shared" si="23"/>
        <v>0</v>
      </c>
    </row>
    <row r="118" spans="2:35" ht="15" customHeight="1" x14ac:dyDescent="0.3">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row>
    <row r="119" spans="2:35" ht="15" customHeight="1" x14ac:dyDescent="0.3">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row>
    <row r="120" spans="2:35" ht="15" customHeight="1" x14ac:dyDescent="0.3">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row>
    <row r="121" spans="2:35" ht="15" customHeight="1" x14ac:dyDescent="0.3">
      <c r="E121" s="176" t="s">
        <v>438</v>
      </c>
      <c r="F121" s="176"/>
      <c r="G121" s="64"/>
      <c r="H121" s="64"/>
      <c r="I121" s="133"/>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row>
    <row r="122" spans="2:35" ht="15" customHeight="1" x14ac:dyDescent="0.3">
      <c r="E122" s="106" t="s">
        <v>427</v>
      </c>
      <c r="F122" s="106" t="s">
        <v>428</v>
      </c>
      <c r="G122" s="64"/>
      <c r="H122" s="64"/>
      <c r="I122" s="133"/>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row>
    <row r="123" spans="2:35" ht="15" customHeight="1" x14ac:dyDescent="0.3">
      <c r="C123" s="179" t="str">
        <f>_xlfn.CONCAT("NPV cost from new device annual refrigerant leakage during measure life (",'ACC Inputs'!$G$7,"$)")</f>
        <v>NPV cost from new device annual refrigerant leakage during measure life (2022$)</v>
      </c>
      <c r="D123" s="180"/>
      <c r="E123" s="110">
        <f>SUM(E96:AI96)*(1+'ACC Inputs'!I74)^('ACC Inputs'!$G$7 - $D$53)</f>
        <v>676.73810802330274</v>
      </c>
      <c r="F123" s="110">
        <f>SUM(E114:AI114)*(1+'ACC Inputs'!$I$7)^('ACC Inputs'!$G$7 - $D$53)</f>
        <v>930.91614903427705</v>
      </c>
      <c r="G123" s="64"/>
      <c r="H123" s="154"/>
      <c r="I123" s="125"/>
      <c r="J123" s="125"/>
      <c r="K123" s="125"/>
      <c r="L123" s="125"/>
      <c r="M123" s="125"/>
      <c r="N123" s="64"/>
      <c r="O123" s="64"/>
      <c r="P123" s="64"/>
      <c r="Q123" s="64"/>
      <c r="R123" s="64"/>
      <c r="S123" s="64"/>
      <c r="T123" s="64"/>
      <c r="U123" s="64"/>
      <c r="V123" s="64"/>
      <c r="W123" s="64"/>
      <c r="X123" s="64"/>
      <c r="Y123" s="64"/>
      <c r="Z123" s="64"/>
      <c r="AA123" s="64"/>
      <c r="AB123" s="64"/>
      <c r="AC123" s="64"/>
      <c r="AD123" s="64"/>
      <c r="AE123" s="64"/>
      <c r="AF123" s="64"/>
      <c r="AG123" s="64"/>
      <c r="AH123" s="64"/>
      <c r="AI123" s="64"/>
    </row>
    <row r="124" spans="2:35" ht="15" customHeight="1" x14ac:dyDescent="0.3">
      <c r="C124" s="179" t="str">
        <f>_xlfn.CONCAT("NPV cost from existing device annual refrigerant leakage during measure life (",'ACC Inputs'!$G$7,"$)")</f>
        <v>NPV cost from existing device annual refrigerant leakage during measure life (2022$)</v>
      </c>
      <c r="D124" s="180"/>
      <c r="E124" s="110">
        <f>SUM(E97:AI97)*(1+'ACC Inputs'!$I$7)^('ACC Inputs'!$G$7 - $D$53)</f>
        <v>0</v>
      </c>
      <c r="F124" s="110">
        <f>SUM(E115:AI115)*(1+'ACC Inputs'!$I$7)^('ACC Inputs'!$G$7 - $D$53)</f>
        <v>0</v>
      </c>
      <c r="G124" s="64"/>
      <c r="H124" s="125"/>
      <c r="I124" s="125"/>
      <c r="J124" s="125"/>
      <c r="K124" s="125"/>
      <c r="L124" s="125"/>
      <c r="M124" s="125"/>
      <c r="N124" s="64"/>
      <c r="O124" s="64"/>
      <c r="P124" s="64"/>
      <c r="Q124" s="64"/>
      <c r="R124" s="64"/>
      <c r="S124" s="64"/>
      <c r="T124" s="64"/>
      <c r="U124" s="64"/>
      <c r="V124" s="64"/>
      <c r="W124" s="64"/>
      <c r="X124" s="64"/>
      <c r="Y124" s="64"/>
      <c r="Z124" s="64"/>
      <c r="AA124" s="64"/>
      <c r="AB124" s="64"/>
      <c r="AC124" s="64"/>
      <c r="AD124" s="64"/>
      <c r="AE124" s="64"/>
      <c r="AF124" s="64"/>
      <c r="AG124" s="64"/>
      <c r="AH124" s="64"/>
      <c r="AI124" s="64"/>
    </row>
    <row r="125" spans="2:35" ht="15" customHeight="1" x14ac:dyDescent="0.3">
      <c r="C125" s="179" t="str">
        <f xml:space="preserve"> _xlfn.CONCAT("NPV cost from new device end-of-life refrigerant leakage* (",'ACC Inputs'!$G$7,"$)")</f>
        <v>NPV cost from new device end-of-life refrigerant leakage* (2022$)</v>
      </c>
      <c r="D125" s="180"/>
      <c r="E125" s="110">
        <f>SUM($D$72:$D$73)*SUM(E98:AI98)*(1+'ACC Inputs'!$I$7)^('ACC Inputs'!$G$7 - $D$53)</f>
        <v>546.1539352849951</v>
      </c>
      <c r="F125" s="110">
        <f>SUM($D$72:$D$73)*SUM(E116:AI116)*(1+'ACC Inputs'!$I$7)^('ACC Inputs'!$G$7 - $D$53)</f>
        <v>797.27016776743164</v>
      </c>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row>
    <row r="126" spans="2:35" ht="15" customHeight="1" x14ac:dyDescent="0.3">
      <c r="C126" s="179" t="str">
        <f xml:space="preserve"> _xlfn.CONCAT("NPV cost from existing device end-of-life refrigerant leakage* (",'ACC Inputs'!$G$7,"$)")</f>
        <v>NPV cost from existing device end-of-life refrigerant leakage* (2022$)</v>
      </c>
      <c r="D126" s="180"/>
      <c r="E126" s="110">
        <f>SUM($E$72:$E$73)*SUM(E99:AI99)*(1+'ACC Inputs'!$I$7)^('ACC Inputs'!$G$7 - $D$53)</f>
        <v>0</v>
      </c>
      <c r="F126" s="110">
        <f>SUM($E$72:$E$73)*SUM(E117:AI117)*(1+'ACC Inputs'!$I$7)^('ACC Inputs'!$G$7 - $D$53)</f>
        <v>0</v>
      </c>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row>
    <row r="127" spans="2:35" ht="15" customHeight="1" x14ac:dyDescent="0.3">
      <c r="C127" s="179" t="str">
        <f>_xlfn.CONCAT("Total NPV cost with respect to measure start year (",'ACC Inputs'!$G$7, "$)")</f>
        <v>Total NPV cost with respect to measure start year (2022$)</v>
      </c>
      <c r="D127" s="180"/>
      <c r="E127" s="111">
        <f>SUM(E123:E126)</f>
        <v>1222.8920433082978</v>
      </c>
      <c r="F127" s="111">
        <f>SUM(F123:F126)</f>
        <v>1728.1863168017087</v>
      </c>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row>
    <row r="128" spans="2:35" ht="15" customHeight="1" x14ac:dyDescent="0.3">
      <c r="C128" s="181" t="s">
        <v>439</v>
      </c>
      <c r="D128" s="181"/>
      <c r="E128" s="181"/>
      <c r="F128" s="181"/>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row>
    <row r="129" spans="3:35" ht="15" customHeight="1" x14ac:dyDescent="0.3">
      <c r="C129" s="182"/>
      <c r="D129" s="182"/>
      <c r="E129" s="182"/>
      <c r="F129" s="182"/>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row>
    <row r="131" spans="3:35" x14ac:dyDescent="0.3">
      <c r="E131" s="177" t="str">
        <f>_xlfn.CONCAT("Total NPV Avoided Cost (",'ACC Inputs'!$G$7,"$)")</f>
        <v>Total NPV Avoided Cost (2022$)</v>
      </c>
      <c r="F131" s="177"/>
    </row>
    <row r="132" spans="3:35" x14ac:dyDescent="0.3">
      <c r="E132" s="178">
        <f>F127-E127</f>
        <v>505.29427349341086</v>
      </c>
      <c r="F132" s="178"/>
    </row>
  </sheetData>
  <mergeCells count="52">
    <mergeCell ref="M28:M30"/>
    <mergeCell ref="C108:D108"/>
    <mergeCell ref="C109:D109"/>
    <mergeCell ref="C110:D110"/>
    <mergeCell ref="C111:D111"/>
    <mergeCell ref="C93:D93"/>
    <mergeCell ref="C94:D94"/>
    <mergeCell ref="G29:H29"/>
    <mergeCell ref="D56:H56"/>
    <mergeCell ref="D58:H58"/>
    <mergeCell ref="D60:H60"/>
    <mergeCell ref="C104:D104"/>
    <mergeCell ref="C105:D105"/>
    <mergeCell ref="E121:F121"/>
    <mergeCell ref="E131:F131"/>
    <mergeCell ref="E132:F132"/>
    <mergeCell ref="C127:D127"/>
    <mergeCell ref="C126:D126"/>
    <mergeCell ref="C125:D125"/>
    <mergeCell ref="C124:D124"/>
    <mergeCell ref="C123:D123"/>
    <mergeCell ref="C128:F129"/>
    <mergeCell ref="B103:B117"/>
    <mergeCell ref="B85:B99"/>
    <mergeCell ref="C97:D97"/>
    <mergeCell ref="C98:D98"/>
    <mergeCell ref="C99:D99"/>
    <mergeCell ref="C115:D115"/>
    <mergeCell ref="C116:D116"/>
    <mergeCell ref="C87:D87"/>
    <mergeCell ref="C88:D88"/>
    <mergeCell ref="C89:D89"/>
    <mergeCell ref="C90:D90"/>
    <mergeCell ref="C91:D91"/>
    <mergeCell ref="C92:D92"/>
    <mergeCell ref="C106:D106"/>
    <mergeCell ref="C107:D107"/>
    <mergeCell ref="C85:D85"/>
    <mergeCell ref="J26:K26"/>
    <mergeCell ref="C117:D117"/>
    <mergeCell ref="D53:H53"/>
    <mergeCell ref="D54:H54"/>
    <mergeCell ref="G31:G35"/>
    <mergeCell ref="H31:H35"/>
    <mergeCell ref="D57:H57"/>
    <mergeCell ref="D26:H26"/>
    <mergeCell ref="D31:D35"/>
    <mergeCell ref="E31:E35"/>
    <mergeCell ref="C86:D86"/>
    <mergeCell ref="D29:E29"/>
    <mergeCell ref="C103:D103"/>
    <mergeCell ref="C112:D112"/>
  </mergeCells>
  <conditionalFormatting sqref="D38">
    <cfRule type="expression" dxfId="17" priority="60">
      <formula>$D$37="ARB average"</formula>
    </cfRule>
  </conditionalFormatting>
  <conditionalFormatting sqref="D57">
    <cfRule type="expression" dxfId="16" priority="56">
      <formula>$D$56&lt;&gt;"User-specified"</formula>
    </cfRule>
  </conditionalFormatting>
  <conditionalFormatting sqref="D58">
    <cfRule type="colorScale" priority="55">
      <colorScale>
        <cfvo type="formula" val="($D$37=&quot;ARB average&quot;)"/>
        <cfvo type="formula" val="($D$37=&quot;User-specified&quot;)"/>
        <color theme="0" tint="-0.14999847407452621"/>
        <color theme="5" tint="0.79998168889431442"/>
      </colorScale>
    </cfRule>
  </conditionalFormatting>
  <conditionalFormatting sqref="C57">
    <cfRule type="expression" dxfId="15" priority="54">
      <formula>$D$56&lt;&gt;"User-specified"</formula>
    </cfRule>
  </conditionalFormatting>
  <conditionalFormatting sqref="G38">
    <cfRule type="expression" dxfId="14" priority="49">
      <formula>$G$37="ARB average"</formula>
    </cfRule>
  </conditionalFormatting>
  <conditionalFormatting sqref="H46">
    <cfRule type="expression" dxfId="13" priority="48">
      <formula>H$45="ARB average"</formula>
    </cfRule>
  </conditionalFormatting>
  <conditionalFormatting sqref="H38">
    <cfRule type="expression" dxfId="12" priority="45">
      <formula>$H$37="ARB average"</formula>
    </cfRule>
  </conditionalFormatting>
  <conditionalFormatting sqref="G47">
    <cfRule type="colorScale" priority="43">
      <colorScale>
        <cfvo type="formula" val="($D$37=&quot;ARB average&quot;)"/>
        <cfvo type="formula" val="($D$37=&quot;User-specified&quot;)"/>
        <color theme="0" tint="-0.14999847407452621"/>
        <color theme="5" tint="0.79998168889431442"/>
      </colorScale>
    </cfRule>
  </conditionalFormatting>
  <conditionalFormatting sqref="H47">
    <cfRule type="colorScale" priority="42">
      <colorScale>
        <cfvo type="formula" val="($D$37=&quot;ARB average&quot;)"/>
        <cfvo type="formula" val="($D$37=&quot;User-specified&quot;)"/>
        <color theme="0" tint="-0.14999847407452621"/>
        <color theme="5" tint="0.79998168889431442"/>
      </colorScale>
    </cfRule>
  </conditionalFormatting>
  <conditionalFormatting sqref="D53:D54">
    <cfRule type="colorScale" priority="41">
      <colorScale>
        <cfvo type="formula" val="($D$37=&quot;ARB average&quot;)"/>
        <cfvo type="formula" val="($D$37=&quot;User-specified&quot;)"/>
        <color theme="0" tint="-0.14999847407452621"/>
        <color theme="5" tint="0.79998168889431442"/>
      </colorScale>
    </cfRule>
  </conditionalFormatting>
  <conditionalFormatting sqref="G42:H42">
    <cfRule type="colorScale" priority="38">
      <colorScale>
        <cfvo type="formula" val="($D$37=&quot;ARB average&quot;)"/>
        <cfvo type="formula" val="($D$37=&quot;User-specified&quot;)"/>
        <color theme="0" tint="-0.14999847407452621"/>
        <color theme="5" tint="0.79998168889431442"/>
      </colorScale>
    </cfRule>
  </conditionalFormatting>
  <conditionalFormatting sqref="G43:H43">
    <cfRule type="colorScale" priority="37">
      <colorScale>
        <cfvo type="formula" val="($D$37=&quot;ARB average&quot;)"/>
        <cfvo type="formula" val="($D$37=&quot;User-specified&quot;)"/>
        <color theme="0" tint="-0.14999847407452621"/>
        <color theme="5" tint="0.79998168889431442"/>
      </colorScale>
    </cfRule>
  </conditionalFormatting>
  <conditionalFormatting sqref="E38">
    <cfRule type="expression" dxfId="11" priority="17">
      <formula>$E$37="ARB average"</formula>
    </cfRule>
  </conditionalFormatting>
  <conditionalFormatting sqref="E42">
    <cfRule type="colorScale" priority="11">
      <colorScale>
        <cfvo type="formula" val="($D$37=&quot;ARB average&quot;)"/>
        <cfvo type="formula" val="($D$37=&quot;User-specified&quot;)"/>
        <color theme="0" tint="-0.14999847407452621"/>
        <color theme="5" tint="0.79998168889431442"/>
      </colorScale>
    </cfRule>
  </conditionalFormatting>
  <conditionalFormatting sqref="E103:AI106 C103:D104 E90:AI94 E108:AI112 A86:A88 E96:AI99 E114:AI117 A85:XFD85 C86:XFD88">
    <cfRule type="expression" dxfId="10" priority="72">
      <formula>A$84&gt;$D$54</formula>
    </cfRule>
    <cfRule type="expression" dxfId="9" priority="73">
      <formula>A$84&gt;=$D$53</formula>
    </cfRule>
  </conditionalFormatting>
  <conditionalFormatting sqref="D50">
    <cfRule type="expression" dxfId="8" priority="7">
      <formula>D$49 &lt;&gt; "User Specified"</formula>
    </cfRule>
  </conditionalFormatting>
  <conditionalFormatting sqref="G50">
    <cfRule type="expression" dxfId="7" priority="6">
      <formula>G$49 &lt;&gt; "User Specified"</formula>
    </cfRule>
  </conditionalFormatting>
  <conditionalFormatting sqref="H50">
    <cfRule type="expression" dxfId="6" priority="15">
      <formula>H$49 &lt;&gt; "User Specified"</formula>
    </cfRule>
  </conditionalFormatting>
  <conditionalFormatting sqref="E50">
    <cfRule type="expression" dxfId="5" priority="16">
      <formula>E$49 &lt;&gt; "User Specified"</formula>
    </cfRule>
  </conditionalFormatting>
  <conditionalFormatting sqref="G46">
    <cfRule type="expression" dxfId="4" priority="5">
      <formula>G$45="ARB average"</formula>
    </cfRule>
  </conditionalFormatting>
  <conditionalFormatting sqref="D46">
    <cfRule type="expression" dxfId="3" priority="3">
      <formula>D$45="ARB average"</formula>
    </cfRule>
  </conditionalFormatting>
  <conditionalFormatting sqref="E46">
    <cfRule type="expression" dxfId="2" priority="4">
      <formula>E$45="ARB average"</formula>
    </cfRule>
  </conditionalFormatting>
  <dataValidations count="3">
    <dataValidation type="list" allowBlank="1" showInputMessage="1" showErrorMessage="1" sqref="D56" xr:uid="{30C8A789-9528-49A2-8254-AE185DEC432B}">
      <formula1>$O$47:$O$50</formula1>
    </dataValidation>
    <dataValidation type="list" allowBlank="1" showInputMessage="1" showErrorMessage="1" sqref="D60" xr:uid="{FA21C730-7E16-499D-9756-4FBCE334E528}">
      <formula1>"20-yr, 100-yr"</formula1>
    </dataValidation>
    <dataValidation type="list" allowBlank="1" showInputMessage="1" showErrorMessage="1" sqref="D37:E37 G37 D45:E45 G45" xr:uid="{BD4CC998-259A-4AE2-8167-A071A7845CF5}">
      <formula1>$N$33:$N$34</formula1>
    </dataValidation>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00000000-000E-0000-0100-000008000000}">
            <xm:f>$D$26='ACC Inputs'!$B$7</xm:f>
            <x14:dxf>
              <font>
                <b val="0"/>
                <i/>
                <color theme="0"/>
              </font>
              <fill>
                <patternFill>
                  <bgColor theme="0"/>
                </patternFill>
              </fill>
              <border>
                <left/>
                <right/>
                <top/>
                <bottom/>
              </border>
            </x14:dxf>
          </x14:cfRule>
          <xm:sqref>E68:E79 H68:H79 E30:E50 H30:H50</xm:sqref>
        </x14:conditionalFormatting>
        <x14:conditionalFormatting xmlns:xm="http://schemas.microsoft.com/office/excel/2006/main">
          <x14:cfRule type="expression" priority="2" id="{00000000-000E-0000-0100-000007000000}">
            <xm:f>$D$26='ACC Inputs'!$B$7</xm:f>
            <x14:dxf>
              <font>
                <b val="0"/>
                <i/>
                <color theme="0"/>
              </font>
              <fill>
                <patternFill>
                  <bgColor theme="0"/>
                </patternFill>
              </fill>
              <border>
                <left style="thin">
                  <color auto="1"/>
                </left>
                <right/>
                <top/>
                <bottom/>
              </border>
            </x14:dxf>
          </x14:cfRule>
          <xm:sqref>E37 E39 H37 E41:E43 E45:E47 E49:E50 E31:E35 H31:H35 H41:H43 H39 H45:H47 H49:H50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5C3A25-1B2B-4EE0-AAC1-41CBB4802CBB}">
          <x14:formula1>
            <xm:f>'Refrigerant GWPs'!$A$2:$A$155</xm:f>
          </x14:formula1>
          <xm:sqref>G49 D49:E49</xm:sqref>
        </x14:dataValidation>
        <x14:dataValidation type="list" allowBlank="1" showInputMessage="1" showErrorMessage="1" xr:uid="{0480D1C2-914E-49FB-A80F-CF93F1FF92BF}">
          <x14:formula1>
            <xm:f>'Refrigerant Leakage'!$B$2:$B$41</xm:f>
          </x14:formula1>
          <xm:sqref>D31:D35 G31:G35</xm:sqref>
        </x14:dataValidation>
        <x14:dataValidation type="list" allowBlank="1" showInputMessage="1" showErrorMessage="1" xr:uid="{C47331CC-3636-45B9-B34E-3996D1172895}">
          <x14:formula1>
            <xm:f>'ACC Inputs'!$B$7:$B$8</xm:f>
          </x14:formula1>
          <xm:sqref>D26:H26</xm:sqref>
        </x14:dataValidation>
        <x14:dataValidation type="list" allowBlank="1" showInputMessage="1" showErrorMessage="1" xr:uid="{CDFF0C38-27E9-49AE-B912-4775CC6D30BC}">
          <x14:formula1>
            <xm:f>IF($D$26 &lt;&gt; "Normal Replacement", 'Refrigerant Leakage'!$B$2:$B$41, 'Refrigerant Leakage'!$B$41)</xm:f>
          </x14:formula1>
          <xm:sqref>E31:E35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2442-6A52-4346-8C34-DA99EE1ABA6A}">
  <sheetPr>
    <tabColor theme="0" tint="-0.14999847407452621"/>
  </sheetPr>
  <dimension ref="B2:AI12"/>
  <sheetViews>
    <sheetView workbookViewId="0">
      <selection activeCell="G7" sqref="G7"/>
    </sheetView>
  </sheetViews>
  <sheetFormatPr defaultColWidth="10.77734375" defaultRowHeight="14.4" x14ac:dyDescent="0.3"/>
  <cols>
    <col min="1" max="1" width="10.77734375" style="1"/>
    <col min="2" max="2" width="38.77734375" style="1" customWidth="1"/>
    <col min="3" max="3" width="17.5546875" style="1" customWidth="1"/>
    <col min="4" max="4" width="12.44140625" style="1" customWidth="1"/>
    <col min="5" max="5" width="13.5546875" style="1" customWidth="1"/>
    <col min="6" max="16384" width="10.77734375" style="1"/>
  </cols>
  <sheetData>
    <row r="2" spans="2:35" x14ac:dyDescent="0.3">
      <c r="B2" s="66"/>
      <c r="D2" s="66" t="s">
        <v>514</v>
      </c>
    </row>
    <row r="3" spans="2:35" x14ac:dyDescent="0.3">
      <c r="B3" s="66"/>
      <c r="D3" s="49">
        <v>2021</v>
      </c>
      <c r="E3" s="50">
        <v>2022</v>
      </c>
      <c r="F3" s="50">
        <v>2023</v>
      </c>
      <c r="G3" s="50">
        <v>2024</v>
      </c>
      <c r="H3" s="50">
        <v>2025</v>
      </c>
      <c r="I3" s="50">
        <v>2026</v>
      </c>
      <c r="J3" s="50">
        <v>2027</v>
      </c>
      <c r="K3" s="50">
        <v>2028</v>
      </c>
      <c r="L3" s="50">
        <v>2029</v>
      </c>
      <c r="M3" s="50">
        <v>2030</v>
      </c>
      <c r="N3" s="50">
        <v>2031</v>
      </c>
      <c r="O3" s="50">
        <v>2032</v>
      </c>
      <c r="P3" s="50">
        <v>2033</v>
      </c>
      <c r="Q3" s="50">
        <v>2034</v>
      </c>
      <c r="R3" s="50">
        <v>2035</v>
      </c>
      <c r="S3" s="50">
        <v>2036</v>
      </c>
      <c r="T3" s="50">
        <v>2037</v>
      </c>
      <c r="U3" s="50">
        <v>2038</v>
      </c>
      <c r="V3" s="50">
        <v>2039</v>
      </c>
      <c r="W3" s="50">
        <v>2040</v>
      </c>
      <c r="X3" s="50">
        <v>2041</v>
      </c>
      <c r="Y3" s="50">
        <v>2042</v>
      </c>
      <c r="Z3" s="50">
        <v>2043</v>
      </c>
      <c r="AA3" s="50">
        <v>2044</v>
      </c>
      <c r="AB3" s="50">
        <v>2045</v>
      </c>
      <c r="AC3" s="50">
        <v>2046</v>
      </c>
      <c r="AD3" s="50">
        <v>2047</v>
      </c>
      <c r="AE3" s="50">
        <v>2048</v>
      </c>
      <c r="AF3" s="50">
        <v>2049</v>
      </c>
      <c r="AG3" s="50">
        <v>2050</v>
      </c>
      <c r="AH3" s="50">
        <v>2051</v>
      </c>
      <c r="AI3" s="51">
        <v>2052</v>
      </c>
    </row>
    <row r="4" spans="2:35" ht="18" customHeight="1" x14ac:dyDescent="0.3">
      <c r="C4" s="52" t="s">
        <v>384</v>
      </c>
      <c r="D4" s="56">
        <v>122.57659999999998</v>
      </c>
      <c r="E4" s="57">
        <v>131.79844620666665</v>
      </c>
      <c r="F4" s="57">
        <v>141.7140826429482</v>
      </c>
      <c r="G4" s="57">
        <v>152.37570546045268</v>
      </c>
      <c r="H4" s="57">
        <v>163.83943770126069</v>
      </c>
      <c r="I4" s="57">
        <v>176.16562473098554</v>
      </c>
      <c r="J4" s="57">
        <v>189.4191518982467</v>
      </c>
      <c r="K4" s="57">
        <v>203.66978609272476</v>
      </c>
      <c r="L4" s="57">
        <v>218.99254299976741</v>
      </c>
      <c r="M4" s="57">
        <v>235.46808198478325</v>
      </c>
      <c r="N4" s="57">
        <v>253.1831306861051</v>
      </c>
      <c r="O4" s="57">
        <v>272.23094155138972</v>
      </c>
      <c r="P4" s="57">
        <v>292.71178272077259</v>
      </c>
      <c r="Q4" s="57">
        <v>314.73346584079871</v>
      </c>
      <c r="R4" s="57">
        <v>338.41191358755475</v>
      </c>
      <c r="S4" s="57">
        <v>363.87176988645848</v>
      </c>
      <c r="T4" s="57">
        <v>391.24705604091633</v>
      </c>
      <c r="U4" s="57">
        <v>420.68187622372795</v>
      </c>
      <c r="V4" s="57">
        <v>452.3311760449597</v>
      </c>
      <c r="W4" s="57">
        <v>486.36155818940881</v>
      </c>
      <c r="X4" s="57">
        <v>522.95215941719187</v>
      </c>
      <c r="Y4" s="57">
        <v>562.29559354401204</v>
      </c>
      <c r="Z4" s="57">
        <v>604.5989653649732</v>
      </c>
      <c r="AA4" s="57">
        <v>650.0849608592647</v>
      </c>
      <c r="AB4" s="57">
        <v>698.99301941457657</v>
      </c>
      <c r="AC4" s="57">
        <v>751.58059424186649</v>
      </c>
      <c r="AD4" s="57">
        <v>808.12450761532966</v>
      </c>
      <c r="AE4" s="57">
        <v>868.92240807158953</v>
      </c>
      <c r="AF4" s="57">
        <v>934.29433723884199</v>
      </c>
      <c r="AG4" s="58">
        <v>1004.5844145437777</v>
      </c>
      <c r="AH4" s="58">
        <v>1080.162648664621</v>
      </c>
      <c r="AI4" s="59">
        <v>1161.4268852658229</v>
      </c>
    </row>
    <row r="5" spans="2:35" ht="23.1" customHeight="1" x14ac:dyDescent="0.3"/>
    <row r="6" spans="2:35" ht="43.2" x14ac:dyDescent="0.3">
      <c r="B6" s="99" t="s">
        <v>422</v>
      </c>
      <c r="E6" s="60" t="s">
        <v>386</v>
      </c>
      <c r="G6" s="150" t="s">
        <v>523</v>
      </c>
      <c r="I6" s="152" t="s">
        <v>524</v>
      </c>
    </row>
    <row r="7" spans="2:35" x14ac:dyDescent="0.3">
      <c r="B7" s="97" t="s">
        <v>451</v>
      </c>
      <c r="D7" s="1" t="s">
        <v>414</v>
      </c>
      <c r="E7" s="53">
        <v>7.3400000000000007E-2</v>
      </c>
      <c r="G7" s="151">
        <v>2022</v>
      </c>
      <c r="I7" s="153">
        <v>0.02</v>
      </c>
    </row>
    <row r="8" spans="2:35" x14ac:dyDescent="0.3">
      <c r="B8" s="98" t="s">
        <v>423</v>
      </c>
      <c r="D8" s="1" t="s">
        <v>412</v>
      </c>
      <c r="E8" s="53">
        <v>7.6799999999999993E-2</v>
      </c>
    </row>
    <row r="9" spans="2:35" x14ac:dyDescent="0.3">
      <c r="B9" s="132"/>
      <c r="D9" s="1" t="s">
        <v>413</v>
      </c>
      <c r="E9" s="53">
        <v>7.5499999999999998E-2</v>
      </c>
    </row>
    <row r="12" spans="2:35" x14ac:dyDescent="0.3">
      <c r="B12" s="6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BF21-17A6-5B4B-98B7-48E2F05EDD4F}">
  <sheetPr codeName="Sheet16">
    <tabColor theme="0" tint="-0.14999847407452621"/>
  </sheetPr>
  <dimension ref="A1:I41"/>
  <sheetViews>
    <sheetView workbookViewId="0">
      <selection activeCell="D26" sqref="D26"/>
    </sheetView>
  </sheetViews>
  <sheetFormatPr defaultColWidth="11.44140625" defaultRowHeight="14.4" x14ac:dyDescent="0.3"/>
  <cols>
    <col min="1" max="1" width="27.44140625" bestFit="1" customWidth="1"/>
    <col min="2" max="2" width="48.44140625" customWidth="1"/>
    <col min="3" max="3" width="18.44140625" bestFit="1" customWidth="1"/>
    <col min="4" max="4" width="18.44140625" customWidth="1"/>
    <col min="5" max="5" width="19.44140625" customWidth="1"/>
    <col min="6" max="6" width="27.44140625" customWidth="1"/>
    <col min="7" max="7" width="29.44140625" customWidth="1"/>
    <col min="8" max="9" width="14.44140625" customWidth="1"/>
  </cols>
  <sheetData>
    <row r="1" spans="1:9" ht="72" x14ac:dyDescent="0.3">
      <c r="A1" s="3" t="s">
        <v>7</v>
      </c>
      <c r="B1" s="3" t="s">
        <v>6</v>
      </c>
      <c r="C1" s="3" t="s">
        <v>8</v>
      </c>
      <c r="D1" s="3" t="s">
        <v>9</v>
      </c>
      <c r="E1" s="3" t="s">
        <v>10</v>
      </c>
      <c r="F1" s="3" t="s">
        <v>11</v>
      </c>
      <c r="G1" s="3" t="s">
        <v>12</v>
      </c>
      <c r="H1" s="3" t="s">
        <v>13</v>
      </c>
      <c r="I1" s="3" t="s">
        <v>14</v>
      </c>
    </row>
    <row r="2" spans="1:9" x14ac:dyDescent="0.3">
      <c r="A2" s="192" t="s">
        <v>15</v>
      </c>
      <c r="B2" s="4" t="s">
        <v>16</v>
      </c>
      <c r="C2" s="5">
        <v>15</v>
      </c>
      <c r="D2" s="6">
        <v>3352</v>
      </c>
      <c r="E2" s="7">
        <v>0.24199999999999999</v>
      </c>
      <c r="F2" s="7">
        <v>0.2</v>
      </c>
      <c r="G2" s="5">
        <v>0</v>
      </c>
      <c r="H2" s="8">
        <f>(E2*C2+F2*(1-E2*G2))</f>
        <v>3.83</v>
      </c>
      <c r="I2" s="9">
        <f>H2*D2</f>
        <v>12838.16</v>
      </c>
    </row>
    <row r="3" spans="1:9" x14ac:dyDescent="0.3">
      <c r="A3" s="192"/>
      <c r="B3" s="4" t="s">
        <v>17</v>
      </c>
      <c r="C3" s="5">
        <v>15</v>
      </c>
      <c r="D3" s="6">
        <v>684</v>
      </c>
      <c r="E3" s="7">
        <v>0.22900000000000001</v>
      </c>
      <c r="F3" s="7">
        <v>0.2</v>
      </c>
      <c r="G3" s="5">
        <v>0</v>
      </c>
      <c r="H3" s="8">
        <f t="shared" ref="H3:H40" si="0">(E3*C3+F3*(1-E3*G3))</f>
        <v>3.6350000000000002</v>
      </c>
      <c r="I3" s="9">
        <f t="shared" ref="I3:I40" si="1">H3*D3</f>
        <v>2486.34</v>
      </c>
    </row>
    <row r="4" spans="1:9" x14ac:dyDescent="0.3">
      <c r="A4" s="192"/>
      <c r="B4" s="4" t="s">
        <v>18</v>
      </c>
      <c r="C4" s="5">
        <v>20</v>
      </c>
      <c r="D4" s="6">
        <v>103</v>
      </c>
      <c r="E4" s="7">
        <v>0.156</v>
      </c>
      <c r="F4" s="10">
        <v>0.2</v>
      </c>
      <c r="G4" s="5">
        <v>0</v>
      </c>
      <c r="H4" s="8">
        <f t="shared" si="0"/>
        <v>3.3200000000000003</v>
      </c>
      <c r="I4" s="9">
        <f t="shared" si="1"/>
        <v>341.96000000000004</v>
      </c>
    </row>
    <row r="5" spans="1:9" x14ac:dyDescent="0.3">
      <c r="A5" s="192"/>
      <c r="B5" s="4" t="s">
        <v>19</v>
      </c>
      <c r="C5" s="5">
        <v>14</v>
      </c>
      <c r="D5" s="6">
        <v>23</v>
      </c>
      <c r="E5" s="7">
        <v>0.15</v>
      </c>
      <c r="F5" s="7">
        <v>0.34</v>
      </c>
      <c r="G5" s="5">
        <v>0</v>
      </c>
      <c r="H5" s="8">
        <f t="shared" si="0"/>
        <v>2.44</v>
      </c>
      <c r="I5" s="9">
        <f t="shared" si="1"/>
        <v>56.12</v>
      </c>
    </row>
    <row r="6" spans="1:9" x14ac:dyDescent="0.3">
      <c r="A6" s="192"/>
      <c r="B6" s="4" t="s">
        <v>20</v>
      </c>
      <c r="C6" s="5">
        <v>15</v>
      </c>
      <c r="D6" s="6">
        <v>3352</v>
      </c>
      <c r="E6" s="7">
        <v>0.24199999999999999</v>
      </c>
      <c r="F6" s="7">
        <v>0.2</v>
      </c>
      <c r="G6" s="5">
        <v>0</v>
      </c>
      <c r="H6" s="8">
        <f t="shared" si="0"/>
        <v>3.83</v>
      </c>
      <c r="I6" s="9">
        <f t="shared" si="1"/>
        <v>12838.16</v>
      </c>
    </row>
    <row r="7" spans="1:9" x14ac:dyDescent="0.3">
      <c r="A7" s="192"/>
      <c r="B7" s="4" t="s">
        <v>21</v>
      </c>
      <c r="C7" s="5">
        <v>15</v>
      </c>
      <c r="D7" s="6">
        <v>684</v>
      </c>
      <c r="E7" s="7">
        <v>0.22900000000000001</v>
      </c>
      <c r="F7" s="7">
        <v>0.2</v>
      </c>
      <c r="G7" s="5">
        <v>0</v>
      </c>
      <c r="H7" s="8">
        <f t="shared" si="0"/>
        <v>3.6350000000000002</v>
      </c>
      <c r="I7" s="9">
        <f t="shared" si="1"/>
        <v>2486.34</v>
      </c>
    </row>
    <row r="8" spans="1:9" x14ac:dyDescent="0.3">
      <c r="A8" s="192"/>
      <c r="B8" s="4" t="s">
        <v>22</v>
      </c>
      <c r="C8" s="5">
        <v>20</v>
      </c>
      <c r="D8" s="6">
        <v>103</v>
      </c>
      <c r="E8" s="7">
        <v>0.156</v>
      </c>
      <c r="F8" s="7">
        <v>0.2</v>
      </c>
      <c r="G8" s="5">
        <v>0</v>
      </c>
      <c r="H8" s="8">
        <f t="shared" si="0"/>
        <v>3.3200000000000003</v>
      </c>
      <c r="I8" s="9">
        <f t="shared" si="1"/>
        <v>341.96000000000004</v>
      </c>
    </row>
    <row r="9" spans="1:9" x14ac:dyDescent="0.3">
      <c r="A9" s="192"/>
      <c r="B9" s="4" t="s">
        <v>23</v>
      </c>
      <c r="C9" s="5">
        <v>14</v>
      </c>
      <c r="D9" s="6">
        <v>23</v>
      </c>
      <c r="E9" s="7">
        <v>0.15</v>
      </c>
      <c r="F9" s="7">
        <v>0.34</v>
      </c>
      <c r="G9" s="5">
        <v>0</v>
      </c>
      <c r="H9" s="8">
        <f t="shared" si="0"/>
        <v>2.44</v>
      </c>
      <c r="I9" s="9">
        <f t="shared" si="1"/>
        <v>56.12</v>
      </c>
    </row>
    <row r="10" spans="1:9" x14ac:dyDescent="0.3">
      <c r="A10" s="192"/>
      <c r="B10" s="4" t="s">
        <v>24</v>
      </c>
      <c r="C10" s="5">
        <v>20</v>
      </c>
      <c r="D10" s="6">
        <v>7252</v>
      </c>
      <c r="E10" s="7">
        <v>0.14799999999999999</v>
      </c>
      <c r="F10" s="7">
        <v>0.2</v>
      </c>
      <c r="G10" s="5">
        <v>0</v>
      </c>
      <c r="H10" s="8">
        <f t="shared" si="0"/>
        <v>3.16</v>
      </c>
      <c r="I10" s="9">
        <f t="shared" si="1"/>
        <v>22916.32</v>
      </c>
    </row>
    <row r="11" spans="1:9" x14ac:dyDescent="0.3">
      <c r="A11" s="192"/>
      <c r="B11" s="4" t="s">
        <v>25</v>
      </c>
      <c r="C11" s="5">
        <v>20</v>
      </c>
      <c r="D11" s="6">
        <v>552</v>
      </c>
      <c r="E11" s="7">
        <v>0.10299999999999999</v>
      </c>
      <c r="F11" s="7">
        <v>0.2</v>
      </c>
      <c r="G11" s="5">
        <v>0</v>
      </c>
      <c r="H11" s="8">
        <f t="shared" si="0"/>
        <v>2.2600000000000002</v>
      </c>
      <c r="I11" s="9">
        <f t="shared" si="1"/>
        <v>1247.5200000000002</v>
      </c>
    </row>
    <row r="12" spans="1:9" x14ac:dyDescent="0.3">
      <c r="A12" s="192"/>
      <c r="B12" s="4" t="s">
        <v>26</v>
      </c>
      <c r="C12" s="5">
        <v>20</v>
      </c>
      <c r="D12" s="6">
        <v>113</v>
      </c>
      <c r="E12" s="7">
        <v>0.04</v>
      </c>
      <c r="F12" s="7">
        <v>0.2</v>
      </c>
      <c r="G12" s="5">
        <v>0</v>
      </c>
      <c r="H12" s="8">
        <f t="shared" si="0"/>
        <v>1</v>
      </c>
      <c r="I12" s="9">
        <f t="shared" si="1"/>
        <v>113</v>
      </c>
    </row>
    <row r="13" spans="1:9" x14ac:dyDescent="0.3">
      <c r="A13" s="192"/>
      <c r="B13" s="4" t="s">
        <v>27</v>
      </c>
      <c r="C13" s="5">
        <v>20</v>
      </c>
      <c r="D13" s="6">
        <v>5873</v>
      </c>
      <c r="E13" s="7">
        <v>0.123</v>
      </c>
      <c r="F13" s="7">
        <v>0.2</v>
      </c>
      <c r="G13" s="5">
        <v>0</v>
      </c>
      <c r="H13" s="8">
        <f t="shared" si="0"/>
        <v>2.66</v>
      </c>
      <c r="I13" s="9">
        <f t="shared" si="1"/>
        <v>15622.18</v>
      </c>
    </row>
    <row r="14" spans="1:9" x14ac:dyDescent="0.3">
      <c r="A14" s="192"/>
      <c r="B14" s="4" t="s">
        <v>28</v>
      </c>
      <c r="C14" s="5">
        <v>20</v>
      </c>
      <c r="D14" s="6">
        <v>660</v>
      </c>
      <c r="E14" s="7">
        <v>0.125</v>
      </c>
      <c r="F14" s="7">
        <v>0.2</v>
      </c>
      <c r="G14" s="5">
        <v>0</v>
      </c>
      <c r="H14" s="8">
        <f t="shared" si="0"/>
        <v>2.7</v>
      </c>
      <c r="I14" s="9">
        <f t="shared" si="1"/>
        <v>1782.0000000000002</v>
      </c>
    </row>
    <row r="15" spans="1:9" x14ac:dyDescent="0.3">
      <c r="A15" s="192"/>
      <c r="B15" s="4" t="s">
        <v>29</v>
      </c>
      <c r="C15" s="5">
        <v>20</v>
      </c>
      <c r="D15" s="6">
        <v>104</v>
      </c>
      <c r="E15" s="7">
        <v>9.0999999999999998E-2</v>
      </c>
      <c r="F15" s="7">
        <v>0.2</v>
      </c>
      <c r="G15" s="5">
        <v>0</v>
      </c>
      <c r="H15" s="8">
        <f t="shared" si="0"/>
        <v>2.02</v>
      </c>
      <c r="I15" s="9">
        <f t="shared" si="1"/>
        <v>210.08</v>
      </c>
    </row>
    <row r="16" spans="1:9" x14ac:dyDescent="0.3">
      <c r="A16" s="192"/>
      <c r="B16" s="4" t="s">
        <v>30</v>
      </c>
      <c r="C16" s="5">
        <v>20</v>
      </c>
      <c r="D16" s="11">
        <v>1.0229999999999999</v>
      </c>
      <c r="E16" s="7">
        <v>0.01</v>
      </c>
      <c r="F16" s="7">
        <v>0.98499999999999999</v>
      </c>
      <c r="G16" s="5">
        <v>10</v>
      </c>
      <c r="H16" s="8">
        <f t="shared" si="0"/>
        <v>1.0865</v>
      </c>
      <c r="I16" s="9">
        <f t="shared" si="1"/>
        <v>1.1114895</v>
      </c>
    </row>
    <row r="17" spans="1:9" x14ac:dyDescent="0.3">
      <c r="A17" s="192"/>
      <c r="B17" s="4" t="s">
        <v>31</v>
      </c>
      <c r="C17" s="5">
        <v>12</v>
      </c>
      <c r="D17" s="12">
        <v>3</v>
      </c>
      <c r="E17" s="7">
        <v>0.01</v>
      </c>
      <c r="F17" s="7">
        <v>0.98499999999999999</v>
      </c>
      <c r="G17" s="5">
        <v>6</v>
      </c>
      <c r="H17" s="8">
        <f t="shared" si="0"/>
        <v>1.0459000000000001</v>
      </c>
      <c r="I17" s="9">
        <f t="shared" si="1"/>
        <v>3.1377000000000002</v>
      </c>
    </row>
    <row r="18" spans="1:9" x14ac:dyDescent="0.3">
      <c r="A18" s="192"/>
      <c r="B18" s="4" t="s">
        <v>32</v>
      </c>
      <c r="C18" s="5">
        <v>5</v>
      </c>
      <c r="D18" s="12">
        <v>3.31</v>
      </c>
      <c r="E18" s="7">
        <v>5.0000000000000001E-3</v>
      </c>
      <c r="F18" s="7">
        <v>0.98499999999999999</v>
      </c>
      <c r="G18" s="5">
        <v>5</v>
      </c>
      <c r="H18" s="8">
        <f t="shared" si="0"/>
        <v>0.985375</v>
      </c>
      <c r="I18" s="9">
        <f t="shared" si="1"/>
        <v>3.2615912499999999</v>
      </c>
    </row>
    <row r="19" spans="1:9" x14ac:dyDescent="0.3">
      <c r="A19" s="192"/>
      <c r="B19" s="4" t="s">
        <v>33</v>
      </c>
      <c r="C19" s="5">
        <v>14</v>
      </c>
      <c r="D19" s="13">
        <v>0.25</v>
      </c>
      <c r="E19" s="7">
        <v>0.01</v>
      </c>
      <c r="F19" s="7">
        <v>0.98499999999999999</v>
      </c>
      <c r="G19" s="5">
        <v>14</v>
      </c>
      <c r="H19" s="8">
        <f t="shared" si="0"/>
        <v>0.98709999999999998</v>
      </c>
      <c r="I19" s="9">
        <f t="shared" si="1"/>
        <v>0.24677499999999999</v>
      </c>
    </row>
    <row r="20" spans="1:9" x14ac:dyDescent="0.3">
      <c r="A20" s="192"/>
      <c r="B20" s="4" t="s">
        <v>34</v>
      </c>
      <c r="C20" s="5">
        <v>15</v>
      </c>
      <c r="D20" s="13">
        <v>0.63</v>
      </c>
      <c r="E20" s="7">
        <v>0.01</v>
      </c>
      <c r="F20" s="7">
        <v>0.98499999999999999</v>
      </c>
      <c r="G20" s="5">
        <v>15</v>
      </c>
      <c r="H20" s="8">
        <f t="shared" si="0"/>
        <v>0.98724999999999996</v>
      </c>
      <c r="I20" s="9">
        <f t="shared" si="1"/>
        <v>0.62196750000000001</v>
      </c>
    </row>
    <row r="21" spans="1:9" x14ac:dyDescent="0.3">
      <c r="A21" s="192"/>
      <c r="B21" s="4" t="s">
        <v>35</v>
      </c>
      <c r="C21" s="5">
        <v>14</v>
      </c>
      <c r="D21" s="13">
        <v>2.4</v>
      </c>
      <c r="E21" s="7">
        <v>0.01</v>
      </c>
      <c r="F21" s="7">
        <v>1</v>
      </c>
      <c r="G21" s="5">
        <v>14</v>
      </c>
      <c r="H21" s="8">
        <f t="shared" si="0"/>
        <v>1</v>
      </c>
      <c r="I21" s="9">
        <f t="shared" si="1"/>
        <v>2.4</v>
      </c>
    </row>
    <row r="22" spans="1:9" x14ac:dyDescent="0.3">
      <c r="A22" s="192"/>
      <c r="B22" s="4" t="s">
        <v>36</v>
      </c>
      <c r="C22" s="5">
        <v>14</v>
      </c>
      <c r="D22" s="11">
        <v>0.88200000000000001</v>
      </c>
      <c r="E22" s="7">
        <v>0.01</v>
      </c>
      <c r="F22" s="7">
        <v>1</v>
      </c>
      <c r="G22" s="5">
        <v>14</v>
      </c>
      <c r="H22" s="8">
        <f t="shared" si="0"/>
        <v>1</v>
      </c>
      <c r="I22" s="9">
        <f t="shared" si="1"/>
        <v>0.88200000000000001</v>
      </c>
    </row>
    <row r="23" spans="1:9" x14ac:dyDescent="0.3">
      <c r="A23" s="192"/>
      <c r="B23" s="4" t="s">
        <v>37</v>
      </c>
      <c r="C23" s="5">
        <v>14</v>
      </c>
      <c r="D23" s="11">
        <v>0.34200000000000003</v>
      </c>
      <c r="E23" s="7">
        <v>0.01</v>
      </c>
      <c r="F23" s="7">
        <v>0.77</v>
      </c>
      <c r="G23" s="5">
        <v>14</v>
      </c>
      <c r="H23" s="8">
        <f t="shared" si="0"/>
        <v>0.80220000000000002</v>
      </c>
      <c r="I23" s="9">
        <f t="shared" si="1"/>
        <v>0.27435240000000005</v>
      </c>
    </row>
    <row r="24" spans="1:9" x14ac:dyDescent="0.3">
      <c r="A24" s="192" t="s">
        <v>38</v>
      </c>
      <c r="B24" s="4" t="s">
        <v>39</v>
      </c>
      <c r="C24" s="5">
        <v>20</v>
      </c>
      <c r="D24" s="6">
        <v>3978</v>
      </c>
      <c r="E24" s="7">
        <v>2.3E-2</v>
      </c>
      <c r="F24" s="7">
        <v>0.2</v>
      </c>
      <c r="G24" s="5">
        <v>0</v>
      </c>
      <c r="H24" s="8">
        <f t="shared" si="0"/>
        <v>0.65999999999999992</v>
      </c>
      <c r="I24" s="9">
        <f t="shared" si="1"/>
        <v>2625.4799999999996</v>
      </c>
    </row>
    <row r="25" spans="1:9" x14ac:dyDescent="0.3">
      <c r="A25" s="192"/>
      <c r="B25" s="4" t="s">
        <v>40</v>
      </c>
      <c r="C25" s="5">
        <v>20</v>
      </c>
      <c r="D25" s="6">
        <v>526</v>
      </c>
      <c r="E25" s="7">
        <v>0.03</v>
      </c>
      <c r="F25" s="7">
        <v>0.2</v>
      </c>
      <c r="G25" s="5">
        <v>0</v>
      </c>
      <c r="H25" s="8">
        <f t="shared" si="0"/>
        <v>0.8</v>
      </c>
      <c r="I25" s="9">
        <f t="shared" si="1"/>
        <v>420.8</v>
      </c>
    </row>
    <row r="26" spans="1:9" x14ac:dyDescent="0.3">
      <c r="A26" s="192"/>
      <c r="B26" s="4" t="s">
        <v>41</v>
      </c>
      <c r="C26" s="5">
        <v>20</v>
      </c>
      <c r="D26" s="6">
        <v>70</v>
      </c>
      <c r="E26" s="7">
        <v>7.0000000000000007E-2</v>
      </c>
      <c r="F26" s="7">
        <v>0.2</v>
      </c>
      <c r="G26" s="5">
        <v>0</v>
      </c>
      <c r="H26" s="8">
        <f t="shared" si="0"/>
        <v>1.6</v>
      </c>
      <c r="I26" s="9">
        <f t="shared" si="1"/>
        <v>112</v>
      </c>
    </row>
    <row r="27" spans="1:9" ht="33" customHeight="1" x14ac:dyDescent="0.3">
      <c r="A27" s="192"/>
      <c r="B27" s="4" t="s">
        <v>42</v>
      </c>
      <c r="C27" s="5">
        <v>15</v>
      </c>
      <c r="D27" s="12">
        <v>18.2</v>
      </c>
      <c r="E27" s="7">
        <v>4.7E-2</v>
      </c>
      <c r="F27" s="7">
        <v>0.56000000000000005</v>
      </c>
      <c r="G27" s="5">
        <v>0</v>
      </c>
      <c r="H27" s="8">
        <f t="shared" si="0"/>
        <v>1.2650000000000001</v>
      </c>
      <c r="I27" s="9">
        <f t="shared" si="1"/>
        <v>23.023</v>
      </c>
    </row>
    <row r="28" spans="1:9" x14ac:dyDescent="0.3">
      <c r="A28" s="192"/>
      <c r="B28" s="4" t="s">
        <v>43</v>
      </c>
      <c r="C28" s="5">
        <v>12</v>
      </c>
      <c r="D28" s="13">
        <v>1.54</v>
      </c>
      <c r="E28" s="7">
        <v>0.02</v>
      </c>
      <c r="F28" s="7">
        <v>0.98499999999999999</v>
      </c>
      <c r="G28" s="5">
        <v>12</v>
      </c>
      <c r="H28" s="8">
        <f t="shared" si="0"/>
        <v>0.98860000000000003</v>
      </c>
      <c r="I28" s="9">
        <f t="shared" si="1"/>
        <v>1.5224440000000001</v>
      </c>
    </row>
    <row r="29" spans="1:9" x14ac:dyDescent="0.3">
      <c r="A29" s="192"/>
      <c r="B29" s="4" t="s">
        <v>44</v>
      </c>
      <c r="C29" s="5">
        <v>15</v>
      </c>
      <c r="D29" s="12">
        <v>7.5</v>
      </c>
      <c r="E29" s="7">
        <v>0.05</v>
      </c>
      <c r="F29" s="7">
        <v>0.8</v>
      </c>
      <c r="G29" s="5">
        <v>3</v>
      </c>
      <c r="H29" s="8">
        <f t="shared" si="0"/>
        <v>1.4300000000000002</v>
      </c>
      <c r="I29" s="9">
        <f t="shared" si="1"/>
        <v>10.725000000000001</v>
      </c>
    </row>
    <row r="30" spans="1:9" x14ac:dyDescent="0.3">
      <c r="A30" s="192"/>
      <c r="B30" s="4" t="s">
        <v>45</v>
      </c>
      <c r="C30" s="5">
        <v>15</v>
      </c>
      <c r="D30" s="12">
        <v>8.1999999999999993</v>
      </c>
      <c r="E30" s="7">
        <v>5.2999999999999999E-2</v>
      </c>
      <c r="F30" s="7">
        <v>0.8</v>
      </c>
      <c r="G30" s="5">
        <v>3</v>
      </c>
      <c r="H30" s="8">
        <f t="shared" si="0"/>
        <v>1.4678</v>
      </c>
      <c r="I30" s="9">
        <f t="shared" si="1"/>
        <v>12.035959999999999</v>
      </c>
    </row>
    <row r="31" spans="1:9" ht="28.8" x14ac:dyDescent="0.3">
      <c r="A31" s="192"/>
      <c r="B31" s="4" t="s">
        <v>46</v>
      </c>
      <c r="C31" s="5">
        <v>12</v>
      </c>
      <c r="D31" s="13">
        <v>1.54</v>
      </c>
      <c r="E31" s="7">
        <v>0.02</v>
      </c>
      <c r="F31" s="7">
        <v>0.98499999999999999</v>
      </c>
      <c r="G31" s="5">
        <v>12</v>
      </c>
      <c r="H31" s="8">
        <f t="shared" si="0"/>
        <v>0.98860000000000003</v>
      </c>
      <c r="I31" s="9">
        <f t="shared" si="1"/>
        <v>1.5224440000000001</v>
      </c>
    </row>
    <row r="32" spans="1:9" x14ac:dyDescent="0.3">
      <c r="A32" s="192"/>
      <c r="B32" s="4" t="s">
        <v>47</v>
      </c>
      <c r="C32" s="5">
        <v>10</v>
      </c>
      <c r="D32" s="13">
        <v>1.54</v>
      </c>
      <c r="E32" s="7">
        <v>0.01</v>
      </c>
      <c r="F32" s="7">
        <v>0.98499999999999999</v>
      </c>
      <c r="G32" s="5">
        <v>10</v>
      </c>
      <c r="H32" s="8">
        <f t="shared" si="0"/>
        <v>0.98649999999999993</v>
      </c>
      <c r="I32" s="9">
        <f t="shared" si="1"/>
        <v>1.5192099999999999</v>
      </c>
    </row>
    <row r="33" spans="1:9" x14ac:dyDescent="0.3">
      <c r="A33" s="192"/>
      <c r="B33" s="4" t="s">
        <v>48</v>
      </c>
      <c r="C33" s="5">
        <v>5</v>
      </c>
      <c r="D33" s="13">
        <v>1</v>
      </c>
      <c r="E33" s="7">
        <v>0.01</v>
      </c>
      <c r="F33" s="7">
        <v>0.98499999999999999</v>
      </c>
      <c r="G33" s="5">
        <v>5</v>
      </c>
      <c r="H33" s="8">
        <f t="shared" si="0"/>
        <v>0.98575000000000002</v>
      </c>
      <c r="I33" s="9">
        <f t="shared" si="1"/>
        <v>0.98575000000000002</v>
      </c>
    </row>
    <row r="34" spans="1:9" x14ac:dyDescent="0.3">
      <c r="A34" s="192" t="s">
        <v>49</v>
      </c>
      <c r="B34" s="4" t="s">
        <v>50</v>
      </c>
      <c r="C34" s="5">
        <v>12</v>
      </c>
      <c r="D34" s="13">
        <v>1.52</v>
      </c>
      <c r="E34" s="7">
        <v>0.08</v>
      </c>
      <c r="F34" s="7">
        <v>0.42499999999999999</v>
      </c>
      <c r="G34" s="5">
        <v>2</v>
      </c>
      <c r="H34" s="8">
        <f t="shared" si="0"/>
        <v>1.3169999999999999</v>
      </c>
      <c r="I34" s="9">
        <f t="shared" si="1"/>
        <v>2.0018400000000001</v>
      </c>
    </row>
    <row r="35" spans="1:9" x14ac:dyDescent="0.3">
      <c r="A35" s="192"/>
      <c r="B35" s="4" t="s">
        <v>51</v>
      </c>
      <c r="C35" s="5">
        <v>10</v>
      </c>
      <c r="D35" s="13">
        <v>2.92</v>
      </c>
      <c r="E35" s="7">
        <v>0.33800000000000002</v>
      </c>
      <c r="F35" s="7">
        <v>0.51339999999999997</v>
      </c>
      <c r="G35" s="5">
        <v>1</v>
      </c>
      <c r="H35" s="8">
        <f t="shared" si="0"/>
        <v>3.7198708000000003</v>
      </c>
      <c r="I35" s="9">
        <f t="shared" si="1"/>
        <v>10.862022736</v>
      </c>
    </row>
    <row r="36" spans="1:9" x14ac:dyDescent="0.3">
      <c r="A36" s="192"/>
      <c r="B36" s="4" t="s">
        <v>52</v>
      </c>
      <c r="C36" s="5">
        <v>12</v>
      </c>
      <c r="D36" s="12">
        <v>21.8</v>
      </c>
      <c r="E36" s="7">
        <v>0.11699999999999999</v>
      </c>
      <c r="F36" s="7">
        <v>0.49</v>
      </c>
      <c r="G36" s="5">
        <v>1</v>
      </c>
      <c r="H36" s="8">
        <f t="shared" si="0"/>
        <v>1.8366699999999998</v>
      </c>
      <c r="I36" s="9">
        <f t="shared" si="1"/>
        <v>40.039406</v>
      </c>
    </row>
    <row r="37" spans="1:9" x14ac:dyDescent="0.3">
      <c r="A37" s="192"/>
      <c r="B37" s="4" t="s">
        <v>53</v>
      </c>
      <c r="C37" s="5">
        <v>10</v>
      </c>
      <c r="D37" s="13">
        <v>2.4300000000000002</v>
      </c>
      <c r="E37" s="7">
        <v>0.33800000000000002</v>
      </c>
      <c r="F37" s="7">
        <v>0.51300000000000001</v>
      </c>
      <c r="G37" s="5">
        <v>1</v>
      </c>
      <c r="H37" s="8">
        <f t="shared" si="0"/>
        <v>3.7196060000000002</v>
      </c>
      <c r="I37" s="9">
        <f t="shared" si="1"/>
        <v>9.0386425800000012</v>
      </c>
    </row>
    <row r="38" spans="1:9" x14ac:dyDescent="0.3">
      <c r="A38" s="192"/>
      <c r="B38" s="4" t="s">
        <v>54</v>
      </c>
      <c r="C38" s="5">
        <v>7</v>
      </c>
      <c r="D38" s="6">
        <v>16</v>
      </c>
      <c r="E38" s="7">
        <v>0.15</v>
      </c>
      <c r="F38" s="7">
        <v>0.49</v>
      </c>
      <c r="G38" s="5">
        <v>1</v>
      </c>
      <c r="H38" s="8">
        <f t="shared" si="0"/>
        <v>1.4664999999999999</v>
      </c>
      <c r="I38" s="9">
        <f t="shared" si="1"/>
        <v>23.463999999999999</v>
      </c>
    </row>
    <row r="39" spans="1:9" x14ac:dyDescent="0.3">
      <c r="A39" s="192"/>
      <c r="B39" s="4" t="s">
        <v>55</v>
      </c>
      <c r="C39" s="5">
        <v>5</v>
      </c>
      <c r="D39" s="12">
        <v>33.1</v>
      </c>
      <c r="E39" s="7">
        <v>0.05</v>
      </c>
      <c r="F39" s="7">
        <v>0.191</v>
      </c>
      <c r="G39" s="5">
        <v>1</v>
      </c>
      <c r="H39" s="8">
        <f t="shared" si="0"/>
        <v>0.43145</v>
      </c>
      <c r="I39" s="9">
        <f t="shared" si="1"/>
        <v>14.280995000000001</v>
      </c>
    </row>
    <row r="40" spans="1:9" x14ac:dyDescent="0.3">
      <c r="A40" s="192"/>
      <c r="B40" s="4" t="s">
        <v>56</v>
      </c>
      <c r="C40" s="5">
        <v>15</v>
      </c>
      <c r="D40" s="6">
        <v>273.2</v>
      </c>
      <c r="E40" s="7">
        <v>0.36599999999999999</v>
      </c>
      <c r="F40" s="7">
        <v>0</v>
      </c>
      <c r="G40" s="5">
        <v>1</v>
      </c>
      <c r="H40" s="8">
        <f t="shared" si="0"/>
        <v>5.49</v>
      </c>
      <c r="I40" s="9">
        <f t="shared" si="1"/>
        <v>1499.8679999999999</v>
      </c>
    </row>
    <row r="41" spans="1:9" x14ac:dyDescent="0.3">
      <c r="A41" s="5" t="s">
        <v>429</v>
      </c>
      <c r="B41" s="4" t="s">
        <v>442</v>
      </c>
      <c r="C41" s="5">
        <v>0</v>
      </c>
      <c r="D41" s="6">
        <v>0</v>
      </c>
      <c r="E41" s="7">
        <v>0</v>
      </c>
      <c r="F41" s="7">
        <v>0</v>
      </c>
      <c r="G41" s="5">
        <v>0</v>
      </c>
      <c r="H41" s="8">
        <f t="shared" ref="H41" si="2">(E41*C41+F41*(1-E41*G41))</f>
        <v>0</v>
      </c>
      <c r="I41" s="9">
        <f t="shared" ref="I41" si="3">H41*D41</f>
        <v>0</v>
      </c>
    </row>
  </sheetData>
  <mergeCells count="3">
    <mergeCell ref="A2:A23"/>
    <mergeCell ref="A24:A33"/>
    <mergeCell ref="A34:A4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B73B5-D6FC-914E-BB19-E1F37F9777AB}">
  <sheetPr codeName="Sheet17">
    <tabColor theme="0" tint="-0.14999847407452621"/>
    <pageSetUpPr fitToPage="1"/>
  </sheetPr>
  <dimension ref="A1:L185"/>
  <sheetViews>
    <sheetView topLeftCell="A124" workbookViewId="0">
      <selection activeCell="B29" sqref="B29"/>
    </sheetView>
  </sheetViews>
  <sheetFormatPr defaultColWidth="11.44140625" defaultRowHeight="13.2" x14ac:dyDescent="0.25"/>
  <cols>
    <col min="1" max="1" width="27.44140625" style="19" customWidth="1"/>
    <col min="2" max="2" width="40.44140625" style="19" customWidth="1"/>
    <col min="3" max="3" width="14.44140625" style="19" customWidth="1"/>
    <col min="4" max="5" width="18.44140625" style="19" bestFit="1" customWidth="1"/>
    <col min="6" max="6" width="78.44140625" style="19" bestFit="1" customWidth="1"/>
    <col min="7" max="256" width="8.44140625" style="19" customWidth="1"/>
    <col min="257" max="257" width="27.44140625" style="19" customWidth="1"/>
    <col min="258" max="258" width="40.44140625" style="19" customWidth="1"/>
    <col min="259" max="261" width="14.44140625" style="19" customWidth="1"/>
    <col min="262" max="512" width="8.44140625" style="19" customWidth="1"/>
    <col min="513" max="513" width="27.44140625" style="19" customWidth="1"/>
    <col min="514" max="514" width="40.44140625" style="19" customWidth="1"/>
    <col min="515" max="517" width="14.44140625" style="19" customWidth="1"/>
    <col min="518" max="768" width="8.44140625" style="19" customWidth="1"/>
    <col min="769" max="769" width="27.44140625" style="19" customWidth="1"/>
    <col min="770" max="770" width="40.44140625" style="19" customWidth="1"/>
    <col min="771" max="773" width="14.44140625" style="19" customWidth="1"/>
    <col min="774" max="1024" width="8.44140625" style="19" customWidth="1"/>
    <col min="1025" max="1025" width="27.44140625" style="19" customWidth="1"/>
    <col min="1026" max="1026" width="40.44140625" style="19" customWidth="1"/>
    <col min="1027" max="1029" width="14.44140625" style="19" customWidth="1"/>
    <col min="1030" max="1280" width="8.44140625" style="19" customWidth="1"/>
    <col min="1281" max="1281" width="27.44140625" style="19" customWidth="1"/>
    <col min="1282" max="1282" width="40.44140625" style="19" customWidth="1"/>
    <col min="1283" max="1285" width="14.44140625" style="19" customWidth="1"/>
    <col min="1286" max="1536" width="8.44140625" style="19" customWidth="1"/>
    <col min="1537" max="1537" width="27.44140625" style="19" customWidth="1"/>
    <col min="1538" max="1538" width="40.44140625" style="19" customWidth="1"/>
    <col min="1539" max="1541" width="14.44140625" style="19" customWidth="1"/>
    <col min="1542" max="1792" width="8.44140625" style="19" customWidth="1"/>
    <col min="1793" max="1793" width="27.44140625" style="19" customWidth="1"/>
    <col min="1794" max="1794" width="40.44140625" style="19" customWidth="1"/>
    <col min="1795" max="1797" width="14.44140625" style="19" customWidth="1"/>
    <col min="1798" max="2048" width="8.44140625" style="19" customWidth="1"/>
    <col min="2049" max="2049" width="27.44140625" style="19" customWidth="1"/>
    <col min="2050" max="2050" width="40.44140625" style="19" customWidth="1"/>
    <col min="2051" max="2053" width="14.44140625" style="19" customWidth="1"/>
    <col min="2054" max="2304" width="8.44140625" style="19" customWidth="1"/>
    <col min="2305" max="2305" width="27.44140625" style="19" customWidth="1"/>
    <col min="2306" max="2306" width="40.44140625" style="19" customWidth="1"/>
    <col min="2307" max="2309" width="14.44140625" style="19" customWidth="1"/>
    <col min="2310" max="2560" width="8.44140625" style="19" customWidth="1"/>
    <col min="2561" max="2561" width="27.44140625" style="19" customWidth="1"/>
    <col min="2562" max="2562" width="40.44140625" style="19" customWidth="1"/>
    <col min="2563" max="2565" width="14.44140625" style="19" customWidth="1"/>
    <col min="2566" max="2816" width="8.44140625" style="19" customWidth="1"/>
    <col min="2817" max="2817" width="27.44140625" style="19" customWidth="1"/>
    <col min="2818" max="2818" width="40.44140625" style="19" customWidth="1"/>
    <col min="2819" max="2821" width="14.44140625" style="19" customWidth="1"/>
    <col min="2822" max="3072" width="8.44140625" style="19" customWidth="1"/>
    <col min="3073" max="3073" width="27.44140625" style="19" customWidth="1"/>
    <col min="3074" max="3074" width="40.44140625" style="19" customWidth="1"/>
    <col min="3075" max="3077" width="14.44140625" style="19" customWidth="1"/>
    <col min="3078" max="3328" width="8.44140625" style="19" customWidth="1"/>
    <col min="3329" max="3329" width="27.44140625" style="19" customWidth="1"/>
    <col min="3330" max="3330" width="40.44140625" style="19" customWidth="1"/>
    <col min="3331" max="3333" width="14.44140625" style="19" customWidth="1"/>
    <col min="3334" max="3584" width="8.44140625" style="19" customWidth="1"/>
    <col min="3585" max="3585" width="27.44140625" style="19" customWidth="1"/>
    <col min="3586" max="3586" width="40.44140625" style="19" customWidth="1"/>
    <col min="3587" max="3589" width="14.44140625" style="19" customWidth="1"/>
    <col min="3590" max="3840" width="8.44140625" style="19" customWidth="1"/>
    <col min="3841" max="3841" width="27.44140625" style="19" customWidth="1"/>
    <col min="3842" max="3842" width="40.44140625" style="19" customWidth="1"/>
    <col min="3843" max="3845" width="14.44140625" style="19" customWidth="1"/>
    <col min="3846" max="4096" width="8.44140625" style="19" customWidth="1"/>
    <col min="4097" max="4097" width="27.44140625" style="19" customWidth="1"/>
    <col min="4098" max="4098" width="40.44140625" style="19" customWidth="1"/>
    <col min="4099" max="4101" width="14.44140625" style="19" customWidth="1"/>
    <col min="4102" max="4352" width="8.44140625" style="19" customWidth="1"/>
    <col min="4353" max="4353" width="27.44140625" style="19" customWidth="1"/>
    <col min="4354" max="4354" width="40.44140625" style="19" customWidth="1"/>
    <col min="4355" max="4357" width="14.44140625" style="19" customWidth="1"/>
    <col min="4358" max="4608" width="8.44140625" style="19" customWidth="1"/>
    <col min="4609" max="4609" width="27.44140625" style="19" customWidth="1"/>
    <col min="4610" max="4610" width="40.44140625" style="19" customWidth="1"/>
    <col min="4611" max="4613" width="14.44140625" style="19" customWidth="1"/>
    <col min="4614" max="4864" width="8.44140625" style="19" customWidth="1"/>
    <col min="4865" max="4865" width="27.44140625" style="19" customWidth="1"/>
    <col min="4866" max="4866" width="40.44140625" style="19" customWidth="1"/>
    <col min="4867" max="4869" width="14.44140625" style="19" customWidth="1"/>
    <col min="4870" max="5120" width="8.44140625" style="19" customWidth="1"/>
    <col min="5121" max="5121" width="27.44140625" style="19" customWidth="1"/>
    <col min="5122" max="5122" width="40.44140625" style="19" customWidth="1"/>
    <col min="5123" max="5125" width="14.44140625" style="19" customWidth="1"/>
    <col min="5126" max="5376" width="8.44140625" style="19" customWidth="1"/>
    <col min="5377" max="5377" width="27.44140625" style="19" customWidth="1"/>
    <col min="5378" max="5378" width="40.44140625" style="19" customWidth="1"/>
    <col min="5379" max="5381" width="14.44140625" style="19" customWidth="1"/>
    <col min="5382" max="5632" width="8.44140625" style="19" customWidth="1"/>
    <col min="5633" max="5633" width="27.44140625" style="19" customWidth="1"/>
    <col min="5634" max="5634" width="40.44140625" style="19" customWidth="1"/>
    <col min="5635" max="5637" width="14.44140625" style="19" customWidth="1"/>
    <col min="5638" max="5888" width="8.44140625" style="19" customWidth="1"/>
    <col min="5889" max="5889" width="27.44140625" style="19" customWidth="1"/>
    <col min="5890" max="5890" width="40.44140625" style="19" customWidth="1"/>
    <col min="5891" max="5893" width="14.44140625" style="19" customWidth="1"/>
    <col min="5894" max="6144" width="8.44140625" style="19" customWidth="1"/>
    <col min="6145" max="6145" width="27.44140625" style="19" customWidth="1"/>
    <col min="6146" max="6146" width="40.44140625" style="19" customWidth="1"/>
    <col min="6147" max="6149" width="14.44140625" style="19" customWidth="1"/>
    <col min="6150" max="6400" width="8.44140625" style="19" customWidth="1"/>
    <col min="6401" max="6401" width="27.44140625" style="19" customWidth="1"/>
    <col min="6402" max="6402" width="40.44140625" style="19" customWidth="1"/>
    <col min="6403" max="6405" width="14.44140625" style="19" customWidth="1"/>
    <col min="6406" max="6656" width="8.44140625" style="19" customWidth="1"/>
    <col min="6657" max="6657" width="27.44140625" style="19" customWidth="1"/>
    <col min="6658" max="6658" width="40.44140625" style="19" customWidth="1"/>
    <col min="6659" max="6661" width="14.44140625" style="19" customWidth="1"/>
    <col min="6662" max="6912" width="8.44140625" style="19" customWidth="1"/>
    <col min="6913" max="6913" width="27.44140625" style="19" customWidth="1"/>
    <col min="6914" max="6914" width="40.44140625" style="19" customWidth="1"/>
    <col min="6915" max="6917" width="14.44140625" style="19" customWidth="1"/>
    <col min="6918" max="7168" width="8.44140625" style="19" customWidth="1"/>
    <col min="7169" max="7169" width="27.44140625" style="19" customWidth="1"/>
    <col min="7170" max="7170" width="40.44140625" style="19" customWidth="1"/>
    <col min="7171" max="7173" width="14.44140625" style="19" customWidth="1"/>
    <col min="7174" max="7424" width="8.44140625" style="19" customWidth="1"/>
    <col min="7425" max="7425" width="27.44140625" style="19" customWidth="1"/>
    <col min="7426" max="7426" width="40.44140625" style="19" customWidth="1"/>
    <col min="7427" max="7429" width="14.44140625" style="19" customWidth="1"/>
    <col min="7430" max="7680" width="8.44140625" style="19" customWidth="1"/>
    <col min="7681" max="7681" width="27.44140625" style="19" customWidth="1"/>
    <col min="7682" max="7682" width="40.44140625" style="19" customWidth="1"/>
    <col min="7683" max="7685" width="14.44140625" style="19" customWidth="1"/>
    <col min="7686" max="7936" width="8.44140625" style="19" customWidth="1"/>
    <col min="7937" max="7937" width="27.44140625" style="19" customWidth="1"/>
    <col min="7938" max="7938" width="40.44140625" style="19" customWidth="1"/>
    <col min="7939" max="7941" width="14.44140625" style="19" customWidth="1"/>
    <col min="7942" max="8192" width="8.44140625" style="19" customWidth="1"/>
    <col min="8193" max="8193" width="27.44140625" style="19" customWidth="1"/>
    <col min="8194" max="8194" width="40.44140625" style="19" customWidth="1"/>
    <col min="8195" max="8197" width="14.44140625" style="19" customWidth="1"/>
    <col min="8198" max="8448" width="8.44140625" style="19" customWidth="1"/>
    <col min="8449" max="8449" width="27.44140625" style="19" customWidth="1"/>
    <col min="8450" max="8450" width="40.44140625" style="19" customWidth="1"/>
    <col min="8451" max="8453" width="14.44140625" style="19" customWidth="1"/>
    <col min="8454" max="8704" width="8.44140625" style="19" customWidth="1"/>
    <col min="8705" max="8705" width="27.44140625" style="19" customWidth="1"/>
    <col min="8706" max="8706" width="40.44140625" style="19" customWidth="1"/>
    <col min="8707" max="8709" width="14.44140625" style="19" customWidth="1"/>
    <col min="8710" max="8960" width="8.44140625" style="19" customWidth="1"/>
    <col min="8961" max="8961" width="27.44140625" style="19" customWidth="1"/>
    <col min="8962" max="8962" width="40.44140625" style="19" customWidth="1"/>
    <col min="8963" max="8965" width="14.44140625" style="19" customWidth="1"/>
    <col min="8966" max="9216" width="8.44140625" style="19" customWidth="1"/>
    <col min="9217" max="9217" width="27.44140625" style="19" customWidth="1"/>
    <col min="9218" max="9218" width="40.44140625" style="19" customWidth="1"/>
    <col min="9219" max="9221" width="14.44140625" style="19" customWidth="1"/>
    <col min="9222" max="9472" width="8.44140625" style="19" customWidth="1"/>
    <col min="9473" max="9473" width="27.44140625" style="19" customWidth="1"/>
    <col min="9474" max="9474" width="40.44140625" style="19" customWidth="1"/>
    <col min="9475" max="9477" width="14.44140625" style="19" customWidth="1"/>
    <col min="9478" max="9728" width="8.44140625" style="19" customWidth="1"/>
    <col min="9729" max="9729" width="27.44140625" style="19" customWidth="1"/>
    <col min="9730" max="9730" width="40.44140625" style="19" customWidth="1"/>
    <col min="9731" max="9733" width="14.44140625" style="19" customWidth="1"/>
    <col min="9734" max="9984" width="8.44140625" style="19" customWidth="1"/>
    <col min="9985" max="9985" width="27.44140625" style="19" customWidth="1"/>
    <col min="9986" max="9986" width="40.44140625" style="19" customWidth="1"/>
    <col min="9987" max="9989" width="14.44140625" style="19" customWidth="1"/>
    <col min="9990" max="10240" width="8.44140625" style="19" customWidth="1"/>
    <col min="10241" max="10241" width="27.44140625" style="19" customWidth="1"/>
    <col min="10242" max="10242" width="40.44140625" style="19" customWidth="1"/>
    <col min="10243" max="10245" width="14.44140625" style="19" customWidth="1"/>
    <col min="10246" max="10496" width="8.44140625" style="19" customWidth="1"/>
    <col min="10497" max="10497" width="27.44140625" style="19" customWidth="1"/>
    <col min="10498" max="10498" width="40.44140625" style="19" customWidth="1"/>
    <col min="10499" max="10501" width="14.44140625" style="19" customWidth="1"/>
    <col min="10502" max="10752" width="8.44140625" style="19" customWidth="1"/>
    <col min="10753" max="10753" width="27.44140625" style="19" customWidth="1"/>
    <col min="10754" max="10754" width="40.44140625" style="19" customWidth="1"/>
    <col min="10755" max="10757" width="14.44140625" style="19" customWidth="1"/>
    <col min="10758" max="11008" width="8.44140625" style="19" customWidth="1"/>
    <col min="11009" max="11009" width="27.44140625" style="19" customWidth="1"/>
    <col min="11010" max="11010" width="40.44140625" style="19" customWidth="1"/>
    <col min="11011" max="11013" width="14.44140625" style="19" customWidth="1"/>
    <col min="11014" max="11264" width="8.44140625" style="19" customWidth="1"/>
    <col min="11265" max="11265" width="27.44140625" style="19" customWidth="1"/>
    <col min="11266" max="11266" width="40.44140625" style="19" customWidth="1"/>
    <col min="11267" max="11269" width="14.44140625" style="19" customWidth="1"/>
    <col min="11270" max="11520" width="8.44140625" style="19" customWidth="1"/>
    <col min="11521" max="11521" width="27.44140625" style="19" customWidth="1"/>
    <col min="11522" max="11522" width="40.44140625" style="19" customWidth="1"/>
    <col min="11523" max="11525" width="14.44140625" style="19" customWidth="1"/>
    <col min="11526" max="11776" width="8.44140625" style="19" customWidth="1"/>
    <col min="11777" max="11777" width="27.44140625" style="19" customWidth="1"/>
    <col min="11778" max="11778" width="40.44140625" style="19" customWidth="1"/>
    <col min="11779" max="11781" width="14.44140625" style="19" customWidth="1"/>
    <col min="11782" max="12032" width="8.44140625" style="19" customWidth="1"/>
    <col min="12033" max="12033" width="27.44140625" style="19" customWidth="1"/>
    <col min="12034" max="12034" width="40.44140625" style="19" customWidth="1"/>
    <col min="12035" max="12037" width="14.44140625" style="19" customWidth="1"/>
    <col min="12038" max="12288" width="8.44140625" style="19" customWidth="1"/>
    <col min="12289" max="12289" width="27.44140625" style="19" customWidth="1"/>
    <col min="12290" max="12290" width="40.44140625" style="19" customWidth="1"/>
    <col min="12291" max="12293" width="14.44140625" style="19" customWidth="1"/>
    <col min="12294" max="12544" width="8.44140625" style="19" customWidth="1"/>
    <col min="12545" max="12545" width="27.44140625" style="19" customWidth="1"/>
    <col min="12546" max="12546" width="40.44140625" style="19" customWidth="1"/>
    <col min="12547" max="12549" width="14.44140625" style="19" customWidth="1"/>
    <col min="12550" max="12800" width="8.44140625" style="19" customWidth="1"/>
    <col min="12801" max="12801" width="27.44140625" style="19" customWidth="1"/>
    <col min="12802" max="12802" width="40.44140625" style="19" customWidth="1"/>
    <col min="12803" max="12805" width="14.44140625" style="19" customWidth="1"/>
    <col min="12806" max="13056" width="8.44140625" style="19" customWidth="1"/>
    <col min="13057" max="13057" width="27.44140625" style="19" customWidth="1"/>
    <col min="13058" max="13058" width="40.44140625" style="19" customWidth="1"/>
    <col min="13059" max="13061" width="14.44140625" style="19" customWidth="1"/>
    <col min="13062" max="13312" width="8.44140625" style="19" customWidth="1"/>
    <col min="13313" max="13313" width="27.44140625" style="19" customWidth="1"/>
    <col min="13314" max="13314" width="40.44140625" style="19" customWidth="1"/>
    <col min="13315" max="13317" width="14.44140625" style="19" customWidth="1"/>
    <col min="13318" max="13568" width="8.44140625" style="19" customWidth="1"/>
    <col min="13569" max="13569" width="27.44140625" style="19" customWidth="1"/>
    <col min="13570" max="13570" width="40.44140625" style="19" customWidth="1"/>
    <col min="13571" max="13573" width="14.44140625" style="19" customWidth="1"/>
    <col min="13574" max="13824" width="8.44140625" style="19" customWidth="1"/>
    <col min="13825" max="13825" width="27.44140625" style="19" customWidth="1"/>
    <col min="13826" max="13826" width="40.44140625" style="19" customWidth="1"/>
    <col min="13827" max="13829" width="14.44140625" style="19" customWidth="1"/>
    <col min="13830" max="14080" width="8.44140625" style="19" customWidth="1"/>
    <col min="14081" max="14081" width="27.44140625" style="19" customWidth="1"/>
    <col min="14082" max="14082" width="40.44140625" style="19" customWidth="1"/>
    <col min="14083" max="14085" width="14.44140625" style="19" customWidth="1"/>
    <col min="14086" max="14336" width="8.44140625" style="19" customWidth="1"/>
    <col min="14337" max="14337" width="27.44140625" style="19" customWidth="1"/>
    <col min="14338" max="14338" width="40.44140625" style="19" customWidth="1"/>
    <col min="14339" max="14341" width="14.44140625" style="19" customWidth="1"/>
    <col min="14342" max="14592" width="8.44140625" style="19" customWidth="1"/>
    <col min="14593" max="14593" width="27.44140625" style="19" customWidth="1"/>
    <col min="14594" max="14594" width="40.44140625" style="19" customWidth="1"/>
    <col min="14595" max="14597" width="14.44140625" style="19" customWidth="1"/>
    <col min="14598" max="14848" width="8.44140625" style="19" customWidth="1"/>
    <col min="14849" max="14849" width="27.44140625" style="19" customWidth="1"/>
    <col min="14850" max="14850" width="40.44140625" style="19" customWidth="1"/>
    <col min="14851" max="14853" width="14.44140625" style="19" customWidth="1"/>
    <col min="14854" max="15104" width="8.44140625" style="19" customWidth="1"/>
    <col min="15105" max="15105" width="27.44140625" style="19" customWidth="1"/>
    <col min="15106" max="15106" width="40.44140625" style="19" customWidth="1"/>
    <col min="15107" max="15109" width="14.44140625" style="19" customWidth="1"/>
    <col min="15110" max="15360" width="8.44140625" style="19" customWidth="1"/>
    <col min="15361" max="15361" width="27.44140625" style="19" customWidth="1"/>
    <col min="15362" max="15362" width="40.44140625" style="19" customWidth="1"/>
    <col min="15363" max="15365" width="14.44140625" style="19" customWidth="1"/>
    <col min="15366" max="15616" width="8.44140625" style="19" customWidth="1"/>
    <col min="15617" max="15617" width="27.44140625" style="19" customWidth="1"/>
    <col min="15618" max="15618" width="40.44140625" style="19" customWidth="1"/>
    <col min="15619" max="15621" width="14.44140625" style="19" customWidth="1"/>
    <col min="15622" max="15872" width="8.44140625" style="19" customWidth="1"/>
    <col min="15873" max="15873" width="27.44140625" style="19" customWidth="1"/>
    <col min="15874" max="15874" width="40.44140625" style="19" customWidth="1"/>
    <col min="15875" max="15877" width="14.44140625" style="19" customWidth="1"/>
    <col min="15878" max="16128" width="8.44140625" style="19" customWidth="1"/>
    <col min="16129" max="16129" width="27.44140625" style="19" customWidth="1"/>
    <col min="16130" max="16130" width="40.44140625" style="19" customWidth="1"/>
    <col min="16131" max="16133" width="14.44140625" style="19" customWidth="1"/>
    <col min="16134" max="16384" width="8.44140625" style="19" customWidth="1"/>
  </cols>
  <sheetData>
    <row r="1" spans="1:7" s="14" customFormat="1" ht="78" customHeight="1" x14ac:dyDescent="0.25">
      <c r="A1" s="3" t="s">
        <v>57</v>
      </c>
      <c r="B1" s="3" t="s">
        <v>58</v>
      </c>
      <c r="C1" s="3" t="s">
        <v>59</v>
      </c>
      <c r="D1" s="3" t="s">
        <v>60</v>
      </c>
      <c r="E1" s="3" t="s">
        <v>61</v>
      </c>
      <c r="F1" s="3" t="s">
        <v>5</v>
      </c>
      <c r="G1" s="3" t="s">
        <v>379</v>
      </c>
    </row>
    <row r="2" spans="1:7" ht="15.6" x14ac:dyDescent="0.35">
      <c r="A2" s="15" t="s">
        <v>62</v>
      </c>
      <c r="B2" s="16" t="s">
        <v>63</v>
      </c>
      <c r="C2" s="17">
        <v>45</v>
      </c>
      <c r="D2" s="17">
        <v>4750</v>
      </c>
      <c r="E2" s="18">
        <v>6730</v>
      </c>
      <c r="F2" s="193" t="s">
        <v>406</v>
      </c>
      <c r="G2" s="16">
        <f>IF(Dashboard!$D$60="100-yr",D2,E2)</f>
        <v>4750</v>
      </c>
    </row>
    <row r="3" spans="1:7" ht="15.6" x14ac:dyDescent="0.35">
      <c r="A3" s="15" t="s">
        <v>64</v>
      </c>
      <c r="B3" s="16" t="s">
        <v>65</v>
      </c>
      <c r="C3" s="17">
        <v>100</v>
      </c>
      <c r="D3" s="17">
        <v>10900</v>
      </c>
      <c r="E3" s="18">
        <v>11000</v>
      </c>
      <c r="F3" s="193"/>
      <c r="G3" s="16">
        <f>IF(Dashboard!$D$60="100-yr",D3,E3)</f>
        <v>10900</v>
      </c>
    </row>
    <row r="4" spans="1:7" ht="15.6" x14ac:dyDescent="0.35">
      <c r="A4" s="15" t="s">
        <v>66</v>
      </c>
      <c r="B4" s="16" t="s">
        <v>67</v>
      </c>
      <c r="C4" s="17">
        <v>640</v>
      </c>
      <c r="D4" s="17">
        <v>14400</v>
      </c>
      <c r="E4" s="18">
        <v>10800</v>
      </c>
      <c r="F4" s="193"/>
      <c r="G4" s="16">
        <f>IF(Dashboard!$D$60="100-yr",D4,E4)</f>
        <v>14400</v>
      </c>
    </row>
    <row r="5" spans="1:7" ht="15.6" x14ac:dyDescent="0.35">
      <c r="A5" s="15" t="s">
        <v>68</v>
      </c>
      <c r="B5" s="16" t="s">
        <v>69</v>
      </c>
      <c r="C5" s="17">
        <v>85</v>
      </c>
      <c r="D5" s="17">
        <v>6130</v>
      </c>
      <c r="E5" s="18">
        <v>6540</v>
      </c>
      <c r="F5" s="193"/>
      <c r="G5" s="16">
        <f>IF(Dashboard!$D$60="100-yr",D5,E5)</f>
        <v>6130</v>
      </c>
    </row>
    <row r="6" spans="1:7" ht="15.6" x14ac:dyDescent="0.35">
      <c r="A6" s="15" t="s">
        <v>70</v>
      </c>
      <c r="B6" s="16" t="s">
        <v>71</v>
      </c>
      <c r="C6" s="17">
        <v>190</v>
      </c>
      <c r="D6" s="17">
        <v>10000</v>
      </c>
      <c r="E6" s="18">
        <v>8040</v>
      </c>
      <c r="F6" s="193"/>
      <c r="G6" s="16">
        <f>IF(Dashboard!$D$60="100-yr",D6,E6)</f>
        <v>10000</v>
      </c>
    </row>
    <row r="7" spans="1:7" ht="15.6" x14ac:dyDescent="0.35">
      <c r="A7" s="15" t="s">
        <v>72</v>
      </c>
      <c r="B7" s="16" t="s">
        <v>73</v>
      </c>
      <c r="C7" s="17">
        <v>1020</v>
      </c>
      <c r="D7" s="17">
        <v>7370</v>
      </c>
      <c r="E7" s="18">
        <v>5310</v>
      </c>
      <c r="F7" s="193"/>
      <c r="G7" s="16">
        <f>IF(Dashboard!$D$60="100-yr",D7,E7)</f>
        <v>7370</v>
      </c>
    </row>
    <row r="8" spans="1:7" ht="15.6" x14ac:dyDescent="0.35">
      <c r="A8" s="20" t="s">
        <v>74</v>
      </c>
      <c r="B8" s="21" t="s">
        <v>75</v>
      </c>
      <c r="C8" s="17">
        <v>16</v>
      </c>
      <c r="D8" s="22">
        <v>1890</v>
      </c>
      <c r="E8" s="23">
        <v>4750</v>
      </c>
      <c r="F8" s="193"/>
      <c r="G8" s="16">
        <f>IF(Dashboard!$D$60="100-yr",D8,E8)</f>
        <v>1890</v>
      </c>
    </row>
    <row r="9" spans="1:7" ht="15.6" x14ac:dyDescent="0.35">
      <c r="A9" s="24" t="s">
        <v>76</v>
      </c>
      <c r="B9" s="25" t="s">
        <v>77</v>
      </c>
      <c r="C9" s="17">
        <v>65</v>
      </c>
      <c r="D9" s="17">
        <v>7140</v>
      </c>
      <c r="E9" s="18">
        <v>8480</v>
      </c>
      <c r="F9" s="193"/>
      <c r="G9" s="16">
        <f>IF(Dashboard!$D$60="100-yr",D9,E9)</f>
        <v>7140</v>
      </c>
    </row>
    <row r="10" spans="1:7" ht="15.6" x14ac:dyDescent="0.35">
      <c r="A10" s="24" t="s">
        <v>78</v>
      </c>
      <c r="B10" s="25" t="s">
        <v>79</v>
      </c>
      <c r="C10" s="17">
        <v>20</v>
      </c>
      <c r="D10" s="17">
        <v>1640</v>
      </c>
      <c r="E10" s="18">
        <v>3680</v>
      </c>
      <c r="F10" s="193"/>
      <c r="G10" s="16">
        <f>IF(Dashboard!$D$60="100-yr",D10,E10)</f>
        <v>1640</v>
      </c>
    </row>
    <row r="11" spans="1:7" ht="15.6" x14ac:dyDescent="0.35">
      <c r="A11" s="24" t="s">
        <v>80</v>
      </c>
      <c r="B11" s="25" t="s">
        <v>81</v>
      </c>
      <c r="C11" s="17">
        <v>26</v>
      </c>
      <c r="D11" s="17">
        <v>1400</v>
      </c>
      <c r="E11" s="18">
        <v>2700</v>
      </c>
      <c r="F11" s="193"/>
      <c r="G11" s="16">
        <f>IF(Dashboard!$D$60="100-yr",D11,E11)</f>
        <v>1400</v>
      </c>
    </row>
    <row r="12" spans="1:7" ht="15.6" x14ac:dyDescent="0.35">
      <c r="A12" s="24" t="s">
        <v>82</v>
      </c>
      <c r="B12" s="25" t="s">
        <v>83</v>
      </c>
      <c r="C12" s="17">
        <v>0.8</v>
      </c>
      <c r="D12" s="17">
        <v>5</v>
      </c>
      <c r="E12" s="18">
        <v>17</v>
      </c>
      <c r="F12" s="193"/>
      <c r="G12" s="16">
        <f>IF(Dashboard!$D$60="100-yr",D12,E12)</f>
        <v>5</v>
      </c>
    </row>
    <row r="13" spans="1:7" ht="15.6" x14ac:dyDescent="0.35">
      <c r="A13" s="24" t="s">
        <v>84</v>
      </c>
      <c r="B13" s="25" t="s">
        <v>85</v>
      </c>
      <c r="C13" s="17">
        <v>5</v>
      </c>
      <c r="D13" s="17">
        <v>146</v>
      </c>
      <c r="E13" s="18">
        <v>506</v>
      </c>
      <c r="F13" s="193"/>
      <c r="G13" s="16">
        <f>IF(Dashboard!$D$60="100-yr",D13,E13)</f>
        <v>146</v>
      </c>
    </row>
    <row r="14" spans="1:7" ht="15.6" x14ac:dyDescent="0.35">
      <c r="A14" s="26" t="s">
        <v>86</v>
      </c>
      <c r="B14" s="27" t="s">
        <v>87</v>
      </c>
      <c r="C14" s="17">
        <v>0.38</v>
      </c>
      <c r="D14" s="28">
        <v>8.6999999999999993</v>
      </c>
      <c r="E14" s="29">
        <v>31</v>
      </c>
      <c r="F14" s="193"/>
      <c r="G14" s="16">
        <f>IF(Dashboard!$D$60="100-yr",D14,E14)</f>
        <v>8.6999999999999993</v>
      </c>
    </row>
    <row r="15" spans="1:7" ht="15.6" x14ac:dyDescent="0.35">
      <c r="A15" s="24" t="s">
        <v>88</v>
      </c>
      <c r="B15" s="16" t="s">
        <v>89</v>
      </c>
      <c r="C15" s="17">
        <v>1.7</v>
      </c>
      <c r="D15" s="17">
        <v>148</v>
      </c>
      <c r="E15" s="18">
        <v>543</v>
      </c>
      <c r="F15" s="193"/>
      <c r="G15" s="16">
        <f>IF(Dashboard!$D$60="100-yr",D15,E15)</f>
        <v>148</v>
      </c>
    </row>
    <row r="16" spans="1:7" ht="15.6" x14ac:dyDescent="0.35">
      <c r="A16" s="24" t="s">
        <v>90</v>
      </c>
      <c r="B16" s="16" t="s">
        <v>91</v>
      </c>
      <c r="C16" s="17">
        <v>11.9</v>
      </c>
      <c r="D16" s="17">
        <v>1810</v>
      </c>
      <c r="E16" s="18">
        <v>5160</v>
      </c>
      <c r="F16" s="193"/>
      <c r="G16" s="16">
        <f>IF(Dashboard!$D$60="100-yr",D16,E16)</f>
        <v>1810</v>
      </c>
    </row>
    <row r="17" spans="1:7" ht="15.6" x14ac:dyDescent="0.35">
      <c r="A17" s="24" t="s">
        <v>92</v>
      </c>
      <c r="B17" s="16" t="s">
        <v>93</v>
      </c>
      <c r="C17" s="17">
        <v>1.3</v>
      </c>
      <c r="D17" s="17">
        <v>77</v>
      </c>
      <c r="E17" s="18">
        <v>273</v>
      </c>
      <c r="F17" s="193"/>
      <c r="G17" s="16">
        <f>IF(Dashboard!$D$60="100-yr",D17,E17)</f>
        <v>77</v>
      </c>
    </row>
    <row r="18" spans="1:7" ht="15.6" x14ac:dyDescent="0.35">
      <c r="A18" s="24" t="s">
        <v>94</v>
      </c>
      <c r="B18" s="16" t="s">
        <v>95</v>
      </c>
      <c r="C18" s="17">
        <v>5.9</v>
      </c>
      <c r="D18" s="17">
        <v>609</v>
      </c>
      <c r="E18" s="18">
        <v>2070</v>
      </c>
      <c r="F18" s="193"/>
      <c r="G18" s="16">
        <f>IF(Dashboard!$D$60="100-yr",D18,E18)</f>
        <v>609</v>
      </c>
    </row>
    <row r="19" spans="1:7" ht="15.6" x14ac:dyDescent="0.35">
      <c r="A19" s="24" t="s">
        <v>96</v>
      </c>
      <c r="B19" s="16" t="s">
        <v>97</v>
      </c>
      <c r="C19" s="17">
        <v>9.1999999999999993</v>
      </c>
      <c r="D19" s="17">
        <v>725</v>
      </c>
      <c r="E19" s="18">
        <v>2250</v>
      </c>
      <c r="F19" s="193"/>
      <c r="G19" s="16">
        <f>IF(Dashboard!$D$60="100-yr",D19,E19)</f>
        <v>725</v>
      </c>
    </row>
    <row r="20" spans="1:7" ht="15.6" x14ac:dyDescent="0.35">
      <c r="A20" s="24" t="s">
        <v>98</v>
      </c>
      <c r="B20" s="16" t="s">
        <v>99</v>
      </c>
      <c r="C20" s="17">
        <v>17.2</v>
      </c>
      <c r="D20" s="17">
        <v>2310</v>
      </c>
      <c r="E20" s="18">
        <v>5490</v>
      </c>
      <c r="F20" s="193"/>
      <c r="G20" s="16">
        <f>IF(Dashboard!$D$60="100-yr",D20,E20)</f>
        <v>2310</v>
      </c>
    </row>
    <row r="21" spans="1:7" ht="15.6" x14ac:dyDescent="0.35">
      <c r="A21" s="24" t="s">
        <v>100</v>
      </c>
      <c r="B21" s="16" t="s">
        <v>101</v>
      </c>
      <c r="C21" s="17">
        <v>1.9</v>
      </c>
      <c r="D21" s="17">
        <v>122</v>
      </c>
      <c r="E21" s="18">
        <v>429</v>
      </c>
      <c r="F21" s="193"/>
      <c r="G21" s="16">
        <f>IF(Dashboard!$D$60="100-yr",D21,E21)</f>
        <v>122</v>
      </c>
    </row>
    <row r="22" spans="1:7" ht="15.6" x14ac:dyDescent="0.35">
      <c r="A22" s="24" t="s">
        <v>102</v>
      </c>
      <c r="B22" s="16" t="s">
        <v>103</v>
      </c>
      <c r="C22" s="17">
        <v>5.9</v>
      </c>
      <c r="D22" s="17">
        <v>595</v>
      </c>
      <c r="E22" s="18">
        <v>2030</v>
      </c>
      <c r="F22" s="193"/>
      <c r="G22" s="16">
        <f>IF(Dashboard!$D$60="100-yr",D22,E22)</f>
        <v>595</v>
      </c>
    </row>
    <row r="23" spans="1:7" ht="15.6" x14ac:dyDescent="0.35">
      <c r="A23" s="30" t="s">
        <v>104</v>
      </c>
      <c r="B23" s="16" t="s">
        <v>105</v>
      </c>
      <c r="C23" s="17" t="s">
        <v>106</v>
      </c>
      <c r="D23" s="17">
        <v>1</v>
      </c>
      <c r="E23" s="18">
        <v>1</v>
      </c>
      <c r="F23" s="16"/>
      <c r="G23" s="16">
        <f>IF(Dashboard!$D$60="100-yr",D23,E23)</f>
        <v>1</v>
      </c>
    </row>
    <row r="24" spans="1:7" ht="15.6" x14ac:dyDescent="0.35">
      <c r="A24" s="30" t="s">
        <v>107</v>
      </c>
      <c r="B24" s="16" t="s">
        <v>108</v>
      </c>
      <c r="C24" s="17">
        <v>12</v>
      </c>
      <c r="D24" s="17">
        <v>25</v>
      </c>
      <c r="E24" s="18">
        <v>72</v>
      </c>
      <c r="F24" s="16"/>
      <c r="G24" s="16">
        <f>IF(Dashboard!$D$60="100-yr",D24,E24)</f>
        <v>25</v>
      </c>
    </row>
    <row r="25" spans="1:7" ht="15.6" x14ac:dyDescent="0.35">
      <c r="A25" s="30" t="s">
        <v>109</v>
      </c>
      <c r="B25" s="16" t="s">
        <v>110</v>
      </c>
      <c r="C25" s="17">
        <v>114</v>
      </c>
      <c r="D25" s="17">
        <v>298</v>
      </c>
      <c r="E25" s="18">
        <v>289</v>
      </c>
      <c r="F25" s="16"/>
      <c r="G25" s="16">
        <f>IF(Dashboard!$D$60="100-yr",D25,E25)</f>
        <v>298</v>
      </c>
    </row>
    <row r="26" spans="1:7" ht="15.6" x14ac:dyDescent="0.35">
      <c r="A26" s="24" t="s">
        <v>111</v>
      </c>
      <c r="B26" s="31" t="s">
        <v>112</v>
      </c>
      <c r="C26" s="17">
        <v>260</v>
      </c>
      <c r="D26" s="17">
        <v>14800</v>
      </c>
      <c r="E26" s="18">
        <v>12000</v>
      </c>
      <c r="F26" s="16"/>
      <c r="G26" s="16">
        <f>IF(Dashboard!$D$60="100-yr",D26,E26)</f>
        <v>14800</v>
      </c>
    </row>
    <row r="27" spans="1:7" ht="15.6" x14ac:dyDescent="0.35">
      <c r="A27" s="24" t="s">
        <v>113</v>
      </c>
      <c r="B27" s="31" t="s">
        <v>114</v>
      </c>
      <c r="C27" s="17">
        <v>5</v>
      </c>
      <c r="D27" s="17">
        <v>675</v>
      </c>
      <c r="E27" s="18">
        <v>2330</v>
      </c>
      <c r="F27" s="16"/>
      <c r="G27" s="16">
        <f>IF(Dashboard!$D$60="100-yr",D27,E27)</f>
        <v>675</v>
      </c>
    </row>
    <row r="28" spans="1:7" ht="15.6" x14ac:dyDescent="0.35">
      <c r="A28" s="24" t="s">
        <v>115</v>
      </c>
      <c r="B28" s="31" t="s">
        <v>116</v>
      </c>
      <c r="C28" s="17">
        <v>29</v>
      </c>
      <c r="D28" s="17">
        <v>3500</v>
      </c>
      <c r="E28" s="18">
        <v>6350</v>
      </c>
      <c r="F28" s="16"/>
      <c r="G28" s="16">
        <f>IF(Dashboard!$D$60="100-yr",D28,E28)</f>
        <v>3500</v>
      </c>
    </row>
    <row r="29" spans="1:7" ht="15.6" x14ac:dyDescent="0.35">
      <c r="A29" s="24" t="s">
        <v>117</v>
      </c>
      <c r="B29" s="31" t="s">
        <v>118</v>
      </c>
      <c r="C29" s="17">
        <v>13.8</v>
      </c>
      <c r="D29" s="17">
        <v>1430</v>
      </c>
      <c r="E29" s="18">
        <v>3830</v>
      </c>
      <c r="F29" s="16"/>
      <c r="G29" s="16">
        <f>IF(Dashboard!$D$60="100-yr",D29,E29)</f>
        <v>1430</v>
      </c>
    </row>
    <row r="30" spans="1:7" ht="15.6" x14ac:dyDescent="0.35">
      <c r="A30" s="24" t="s">
        <v>119</v>
      </c>
      <c r="B30" s="31" t="s">
        <v>120</v>
      </c>
      <c r="C30" s="17">
        <v>52</v>
      </c>
      <c r="D30" s="17">
        <v>4470</v>
      </c>
      <c r="E30" s="18">
        <v>5890</v>
      </c>
      <c r="F30" s="16"/>
      <c r="G30" s="16">
        <f>IF(Dashboard!$D$60="100-yr",D30,E30)</f>
        <v>4470</v>
      </c>
    </row>
    <row r="31" spans="1:7" ht="15.6" x14ac:dyDescent="0.35">
      <c r="A31" s="24" t="s">
        <v>121</v>
      </c>
      <c r="B31" s="31" t="s">
        <v>122</v>
      </c>
      <c r="C31" s="17">
        <v>1.4</v>
      </c>
      <c r="D31" s="17">
        <v>124</v>
      </c>
      <c r="E31" s="18">
        <v>437</v>
      </c>
      <c r="F31" s="16"/>
      <c r="G31" s="16">
        <f>IF(Dashboard!$D$60="100-yr",D31,E31)</f>
        <v>124</v>
      </c>
    </row>
    <row r="32" spans="1:7" ht="15.6" x14ac:dyDescent="0.35">
      <c r="A32" s="24" t="s">
        <v>123</v>
      </c>
      <c r="B32" s="32" t="s">
        <v>124</v>
      </c>
      <c r="C32" s="17">
        <v>0.25</v>
      </c>
      <c r="D32" s="17" t="s">
        <v>499</v>
      </c>
      <c r="E32" s="17" t="s">
        <v>499</v>
      </c>
      <c r="F32" s="16"/>
      <c r="G32" s="16" t="str">
        <f>IF(Dashboard!$D$60="100-yr",D32,E32)</f>
        <v>Not Available</v>
      </c>
    </row>
    <row r="33" spans="1:7" ht="15.6" x14ac:dyDescent="0.35">
      <c r="A33" s="24" t="s">
        <v>125</v>
      </c>
      <c r="B33" s="19" t="s">
        <v>126</v>
      </c>
      <c r="C33" s="17">
        <v>33</v>
      </c>
      <c r="D33" s="17">
        <v>3220</v>
      </c>
      <c r="E33" s="18">
        <v>5310</v>
      </c>
      <c r="F33" s="16"/>
      <c r="G33" s="16">
        <f>IF(Dashboard!$D$60="100-yr",D33,E33)</f>
        <v>3220</v>
      </c>
    </row>
    <row r="34" spans="1:7" ht="15.6" x14ac:dyDescent="0.35">
      <c r="A34" s="24" t="s">
        <v>127</v>
      </c>
      <c r="B34" s="25" t="s">
        <v>128</v>
      </c>
      <c r="C34" s="17">
        <v>220</v>
      </c>
      <c r="D34" s="17">
        <v>9810</v>
      </c>
      <c r="E34" s="18">
        <v>8100</v>
      </c>
      <c r="F34" s="16"/>
      <c r="G34" s="16">
        <f>IF(Dashboard!$D$60="100-yr",D34,E34)</f>
        <v>9810</v>
      </c>
    </row>
    <row r="35" spans="1:7" ht="15.6" x14ac:dyDescent="0.35">
      <c r="A35" s="24" t="s">
        <v>129</v>
      </c>
      <c r="B35" s="19" t="s">
        <v>130</v>
      </c>
      <c r="C35" s="17">
        <v>7.2</v>
      </c>
      <c r="D35" s="17">
        <v>1030</v>
      </c>
      <c r="E35" s="18">
        <v>3380</v>
      </c>
      <c r="F35" s="16"/>
      <c r="G35" s="16">
        <f>IF(Dashboard!$D$60="100-yr",D35,E35)</f>
        <v>1030</v>
      </c>
    </row>
    <row r="36" spans="1:7" ht="15.6" x14ac:dyDescent="0.35">
      <c r="A36" s="24" t="s">
        <v>131</v>
      </c>
      <c r="B36" s="19" t="s">
        <v>132</v>
      </c>
      <c r="C36" s="17">
        <v>9.9</v>
      </c>
      <c r="D36" s="17">
        <v>794</v>
      </c>
      <c r="E36" s="18">
        <v>2520</v>
      </c>
      <c r="F36" s="16"/>
      <c r="G36" s="16">
        <f>IF(Dashboard!$D$60="100-yr",D36,E36)</f>
        <v>794</v>
      </c>
    </row>
    <row r="37" spans="1:7" ht="15.6" x14ac:dyDescent="0.35">
      <c r="A37" s="24" t="s">
        <v>133</v>
      </c>
      <c r="B37" s="19" t="s">
        <v>134</v>
      </c>
      <c r="C37" s="17">
        <v>15</v>
      </c>
      <c r="D37" s="17">
        <v>1640</v>
      </c>
      <c r="E37" s="18">
        <v>4140</v>
      </c>
      <c r="F37" s="16"/>
      <c r="G37" s="16">
        <f>IF(Dashboard!$D$60="100-yr",D37,E37)</f>
        <v>1640</v>
      </c>
    </row>
    <row r="38" spans="1:7" ht="15.6" x14ac:dyDescent="0.35">
      <c r="A38" s="24" t="s">
        <v>135</v>
      </c>
      <c r="B38" s="19" t="s">
        <v>136</v>
      </c>
      <c r="C38" s="17">
        <v>5</v>
      </c>
      <c r="D38" s="17">
        <v>390</v>
      </c>
      <c r="E38" s="18">
        <v>1040</v>
      </c>
      <c r="F38" s="16"/>
      <c r="G38" s="16">
        <f>IF(Dashboard!$D$60="100-yr",D38,E38)</f>
        <v>390</v>
      </c>
    </row>
    <row r="39" spans="1:7" ht="15.6" x14ac:dyDescent="0.35">
      <c r="A39" s="24" t="s">
        <v>137</v>
      </c>
      <c r="B39" s="19" t="s">
        <v>138</v>
      </c>
      <c r="C39" s="17">
        <v>0.77</v>
      </c>
      <c r="D39" s="17">
        <v>55</v>
      </c>
      <c r="E39" s="18">
        <v>207</v>
      </c>
      <c r="F39" s="16"/>
      <c r="G39" s="16">
        <f>IF(Dashboard!$D$60="100-yr",D39,E39)</f>
        <v>55</v>
      </c>
    </row>
    <row r="40" spans="1:7" x14ac:dyDescent="0.25">
      <c r="A40" s="24" t="s">
        <v>139</v>
      </c>
      <c r="B40" s="19" t="s">
        <v>140</v>
      </c>
      <c r="C40" s="17">
        <v>0.77</v>
      </c>
      <c r="D40" s="17">
        <v>55</v>
      </c>
      <c r="E40" s="17" t="s">
        <v>499</v>
      </c>
      <c r="F40" s="16"/>
      <c r="G40" s="16">
        <f>IF(Dashboard!$D$60="100-yr",D40,E40)</f>
        <v>55</v>
      </c>
    </row>
    <row r="41" spans="1:7" ht="15.6" x14ac:dyDescent="0.35">
      <c r="A41" s="24" t="s">
        <v>141</v>
      </c>
      <c r="B41" s="25" t="s">
        <v>142</v>
      </c>
      <c r="C41" s="17">
        <v>50000</v>
      </c>
      <c r="D41" s="33">
        <v>7390</v>
      </c>
      <c r="E41" s="34">
        <v>5210</v>
      </c>
      <c r="F41" s="16"/>
      <c r="G41" s="16">
        <f>IF(Dashboard!$D$60="100-yr",D41,E41)</f>
        <v>7390</v>
      </c>
    </row>
    <row r="42" spans="1:7" ht="15.6" x14ac:dyDescent="0.35">
      <c r="A42" s="24" t="s">
        <v>143</v>
      </c>
      <c r="B42" s="25" t="s">
        <v>144</v>
      </c>
      <c r="C42" s="17">
        <v>10000</v>
      </c>
      <c r="D42" s="33">
        <v>12200</v>
      </c>
      <c r="E42" s="34">
        <v>8630</v>
      </c>
      <c r="F42" s="16"/>
      <c r="G42" s="16">
        <f>IF(Dashboard!$D$60="100-yr",D42,E42)</f>
        <v>12200</v>
      </c>
    </row>
    <row r="43" spans="1:7" ht="15.6" x14ac:dyDescent="0.35">
      <c r="A43" s="24" t="s">
        <v>145</v>
      </c>
      <c r="B43" s="25" t="s">
        <v>146</v>
      </c>
      <c r="C43" s="17">
        <v>2600</v>
      </c>
      <c r="D43" s="17">
        <v>8830</v>
      </c>
      <c r="E43" s="18">
        <v>6310</v>
      </c>
      <c r="F43" s="16"/>
      <c r="G43" s="16">
        <f>IF(Dashboard!$D$60="100-yr",D43,E43)</f>
        <v>8830</v>
      </c>
    </row>
    <row r="44" spans="1:7" ht="15.6" x14ac:dyDescent="0.35">
      <c r="A44" s="24" t="s">
        <v>147</v>
      </c>
      <c r="B44" s="25" t="s">
        <v>148</v>
      </c>
      <c r="C44" s="17">
        <v>3200</v>
      </c>
      <c r="D44" s="17">
        <v>10300</v>
      </c>
      <c r="E44" s="18">
        <v>7310</v>
      </c>
      <c r="F44" s="16"/>
      <c r="G44" s="16">
        <f>IF(Dashboard!$D$60="100-yr",D44,E44)</f>
        <v>10300</v>
      </c>
    </row>
    <row r="45" spans="1:7" ht="15.6" x14ac:dyDescent="0.35">
      <c r="A45" s="24" t="s">
        <v>149</v>
      </c>
      <c r="B45" s="25" t="s">
        <v>150</v>
      </c>
      <c r="C45" s="17">
        <v>2600</v>
      </c>
      <c r="D45" s="17">
        <v>8860</v>
      </c>
      <c r="E45" s="18">
        <v>6330</v>
      </c>
      <c r="F45" s="16"/>
      <c r="G45" s="16">
        <f>IF(Dashboard!$D$60="100-yr",D45,E45)</f>
        <v>8860</v>
      </c>
    </row>
    <row r="46" spans="1:7" ht="15.6" x14ac:dyDescent="0.35">
      <c r="A46" s="24" t="s">
        <v>151</v>
      </c>
      <c r="B46" s="25" t="s">
        <v>152</v>
      </c>
      <c r="C46" s="17">
        <v>4100</v>
      </c>
      <c r="D46" s="17">
        <v>9160</v>
      </c>
      <c r="E46" s="18">
        <v>6510</v>
      </c>
      <c r="F46" s="16"/>
      <c r="G46" s="16">
        <f>IF(Dashboard!$D$60="100-yr",D46,E46)</f>
        <v>9160</v>
      </c>
    </row>
    <row r="47" spans="1:7" ht="15.6" x14ac:dyDescent="0.35">
      <c r="A47" s="24" t="s">
        <v>153</v>
      </c>
      <c r="B47" s="25" t="s">
        <v>154</v>
      </c>
      <c r="C47" s="17">
        <v>3200</v>
      </c>
      <c r="D47" s="17">
        <v>9300</v>
      </c>
      <c r="E47" s="18">
        <v>6600</v>
      </c>
      <c r="F47" s="16"/>
      <c r="G47" s="16">
        <f>IF(Dashboard!$D$60="100-yr",D47,E47)</f>
        <v>9300</v>
      </c>
    </row>
    <row r="48" spans="1:7" ht="15.6" x14ac:dyDescent="0.35">
      <c r="A48" s="24" t="s">
        <v>155</v>
      </c>
      <c r="B48" s="25" t="s">
        <v>156</v>
      </c>
      <c r="C48" s="17" t="s">
        <v>157</v>
      </c>
      <c r="D48" s="17" t="s">
        <v>158</v>
      </c>
      <c r="E48" s="18" t="s">
        <v>159</v>
      </c>
      <c r="F48" s="16"/>
      <c r="G48" s="16" t="str">
        <f>IF(Dashboard!$D$60="100-yr",D48,E48)</f>
        <v>&gt;7500</v>
      </c>
    </row>
    <row r="49" spans="1:7" ht="15.6" x14ac:dyDescent="0.35">
      <c r="A49" s="24" t="s">
        <v>160</v>
      </c>
      <c r="B49" s="25" t="s">
        <v>161</v>
      </c>
      <c r="C49" s="17">
        <v>3200</v>
      </c>
      <c r="D49" s="17">
        <v>22800</v>
      </c>
      <c r="E49" s="18">
        <v>16300</v>
      </c>
      <c r="F49" s="16"/>
      <c r="G49" s="16">
        <f>IF(Dashboard!$D$60="100-yr",D49,E49)</f>
        <v>22800</v>
      </c>
    </row>
    <row r="50" spans="1:7" ht="15.6" x14ac:dyDescent="0.35">
      <c r="A50" s="24" t="s">
        <v>162</v>
      </c>
      <c r="B50" s="16" t="s">
        <v>163</v>
      </c>
      <c r="C50" s="17">
        <v>740</v>
      </c>
      <c r="D50" s="17">
        <v>17200</v>
      </c>
      <c r="E50" s="18">
        <v>12300</v>
      </c>
      <c r="F50" s="16"/>
      <c r="G50" s="16">
        <f>IF(Dashboard!$D$60="100-yr",D50,E50)</f>
        <v>17200</v>
      </c>
    </row>
    <row r="51" spans="1:7" ht="23.1" customHeight="1" x14ac:dyDescent="0.35">
      <c r="A51" s="26" t="s">
        <v>164</v>
      </c>
      <c r="B51" s="27" t="s">
        <v>165</v>
      </c>
      <c r="C51" s="17">
        <v>36</v>
      </c>
      <c r="D51" s="17" t="s">
        <v>499</v>
      </c>
      <c r="E51" s="17" t="s">
        <v>499</v>
      </c>
      <c r="F51" s="16"/>
      <c r="G51" s="16" t="str">
        <f>IF(Dashboard!$D$60="100-yr",D51,E51)</f>
        <v>Not Available</v>
      </c>
    </row>
    <row r="52" spans="1:7" ht="28.8" x14ac:dyDescent="0.35">
      <c r="A52" s="26" t="s">
        <v>166</v>
      </c>
      <c r="B52" s="35" t="s">
        <v>167</v>
      </c>
      <c r="C52" s="17">
        <v>800</v>
      </c>
      <c r="D52" s="28">
        <v>17700</v>
      </c>
      <c r="E52" s="17" t="s">
        <v>499</v>
      </c>
      <c r="F52" s="16"/>
      <c r="G52" s="16">
        <f>IF(Dashboard!$D$60="100-yr",D52,E52)</f>
        <v>17700</v>
      </c>
    </row>
    <row r="53" spans="1:7" ht="14.4" x14ac:dyDescent="0.3">
      <c r="A53" s="15" t="s">
        <v>168</v>
      </c>
      <c r="B53" s="32" t="s">
        <v>169</v>
      </c>
      <c r="C53" s="17">
        <v>5.0000000000000001E-3</v>
      </c>
      <c r="D53" s="17">
        <v>1</v>
      </c>
      <c r="E53" s="18">
        <v>1</v>
      </c>
      <c r="F53" s="16"/>
      <c r="G53" s="16">
        <f>IF(Dashboard!$D$60="100-yr",D53,E53)</f>
        <v>1</v>
      </c>
    </row>
    <row r="54" spans="1:7" ht="15.6" x14ac:dyDescent="0.35">
      <c r="A54" s="15" t="s">
        <v>170</v>
      </c>
      <c r="B54" s="32" t="s">
        <v>171</v>
      </c>
      <c r="C54" s="17">
        <v>5.0000000000000001E-3</v>
      </c>
      <c r="D54" s="17">
        <v>1</v>
      </c>
      <c r="E54" s="18">
        <v>1</v>
      </c>
      <c r="F54" s="16"/>
      <c r="G54" s="16">
        <f>IF(Dashboard!$D$60="100-yr",D54,E54)</f>
        <v>1</v>
      </c>
    </row>
    <row r="55" spans="1:7" ht="42" x14ac:dyDescent="0.35">
      <c r="A55" s="15" t="s">
        <v>172</v>
      </c>
      <c r="B55" s="36" t="s">
        <v>173</v>
      </c>
      <c r="C55" s="37"/>
      <c r="D55" s="17">
        <v>1221</v>
      </c>
      <c r="E55" s="17" t="s">
        <v>499</v>
      </c>
      <c r="F55" s="16"/>
      <c r="G55" s="16">
        <f>IF(Dashboard!$D$60="100-yr",D55,E55)</f>
        <v>1221</v>
      </c>
    </row>
    <row r="56" spans="1:7" ht="44.4" x14ac:dyDescent="0.35">
      <c r="A56" s="15" t="s">
        <v>174</v>
      </c>
      <c r="B56" s="38" t="s">
        <v>175</v>
      </c>
      <c r="C56" s="37"/>
      <c r="D56" s="17">
        <v>1101</v>
      </c>
      <c r="E56" s="17" t="s">
        <v>499</v>
      </c>
      <c r="F56" s="16"/>
      <c r="G56" s="16">
        <f>IF(Dashboard!$D$60="100-yr",D56,E56)</f>
        <v>1101</v>
      </c>
    </row>
    <row r="57" spans="1:7" ht="26.4" x14ac:dyDescent="0.25">
      <c r="A57" s="15" t="s">
        <v>176</v>
      </c>
      <c r="B57" s="38" t="s">
        <v>177</v>
      </c>
      <c r="C57" s="37"/>
      <c r="D57" s="39">
        <v>1606</v>
      </c>
      <c r="E57" s="17" t="s">
        <v>499</v>
      </c>
      <c r="F57" s="16"/>
      <c r="G57" s="16">
        <f>IF(Dashboard!$D$60="100-yr",D57,E57)</f>
        <v>1606</v>
      </c>
    </row>
    <row r="58" spans="1:7" ht="50.1" customHeight="1" x14ac:dyDescent="0.25">
      <c r="A58" s="15" t="s">
        <v>178</v>
      </c>
      <c r="B58" s="38" t="s">
        <v>179</v>
      </c>
      <c r="C58" s="37"/>
      <c r="D58" s="39">
        <v>1568.6</v>
      </c>
      <c r="E58" s="17" t="s">
        <v>499</v>
      </c>
      <c r="F58" s="16"/>
      <c r="G58" s="16">
        <f>IF(Dashboard!$D$60="100-yr",D58,E58)</f>
        <v>1568.6</v>
      </c>
    </row>
    <row r="59" spans="1:7" ht="57" customHeight="1" x14ac:dyDescent="0.25">
      <c r="A59" s="15" t="s">
        <v>180</v>
      </c>
      <c r="B59" s="38" t="s">
        <v>181</v>
      </c>
      <c r="C59" s="37"/>
      <c r="D59" s="39">
        <v>1081.29</v>
      </c>
      <c r="E59" s="17" t="s">
        <v>499</v>
      </c>
      <c r="F59" s="16"/>
      <c r="G59" s="16">
        <f>IF(Dashboard!$D$60="100-yr",D59,E59)</f>
        <v>1081.29</v>
      </c>
    </row>
    <row r="60" spans="1:7" ht="52.35" customHeight="1" x14ac:dyDescent="0.25">
      <c r="A60" s="41" t="s">
        <v>182</v>
      </c>
      <c r="B60" s="38" t="s">
        <v>183</v>
      </c>
      <c r="C60" s="37"/>
      <c r="D60" s="37">
        <v>1730.4999999999998</v>
      </c>
      <c r="E60" s="17" t="s">
        <v>499</v>
      </c>
      <c r="F60" s="16"/>
      <c r="G60" s="16">
        <f>IF(Dashboard!$D$60="100-yr",D60,E60)</f>
        <v>1730.4999999999998</v>
      </c>
    </row>
    <row r="61" spans="1:7" ht="57" customHeight="1" x14ac:dyDescent="0.25">
      <c r="A61" s="15" t="s">
        <v>184</v>
      </c>
      <c r="B61" s="38" t="s">
        <v>185</v>
      </c>
      <c r="C61" s="37"/>
      <c r="D61" s="37">
        <v>1892.7199999999998</v>
      </c>
      <c r="E61" s="17" t="s">
        <v>499</v>
      </c>
      <c r="F61" s="16"/>
      <c r="G61" s="16">
        <f>IF(Dashboard!$D$60="100-yr",D61,E61)</f>
        <v>1892.7199999999998</v>
      </c>
    </row>
    <row r="62" spans="1:7" ht="67.349999999999994" customHeight="1" x14ac:dyDescent="0.25">
      <c r="A62" s="15" t="s">
        <v>186</v>
      </c>
      <c r="B62" s="38" t="s">
        <v>187</v>
      </c>
      <c r="C62" s="37"/>
      <c r="D62" s="37">
        <v>2376.7199999999998</v>
      </c>
      <c r="E62" s="17" t="s">
        <v>499</v>
      </c>
      <c r="F62" s="16"/>
      <c r="G62" s="16">
        <f>IF(Dashboard!$D$60="100-yr",D62,E62)</f>
        <v>2376.7199999999998</v>
      </c>
    </row>
    <row r="63" spans="1:7" ht="59.85" customHeight="1" x14ac:dyDescent="0.25">
      <c r="A63" s="15" t="s">
        <v>188</v>
      </c>
      <c r="B63" s="38" t="s">
        <v>189</v>
      </c>
      <c r="C63" s="37"/>
      <c r="D63" s="39">
        <v>1809.4250000000002</v>
      </c>
      <c r="E63" s="40">
        <v>4256.3410000000003</v>
      </c>
      <c r="F63" s="16"/>
      <c r="G63" s="16">
        <f>IF(Dashboard!$D$60="100-yr",D63,E63)</f>
        <v>1809.4250000000002</v>
      </c>
    </row>
    <row r="64" spans="1:7" ht="59.85" customHeight="1" x14ac:dyDescent="0.25">
      <c r="A64" s="15" t="s">
        <v>190</v>
      </c>
      <c r="B64" s="38" t="s">
        <v>191</v>
      </c>
      <c r="C64" s="37"/>
      <c r="D64" s="39">
        <v>124</v>
      </c>
      <c r="E64" s="40">
        <v>437</v>
      </c>
      <c r="F64" s="16"/>
      <c r="G64" s="16">
        <f>IF(Dashboard!$D$60="100-yr",D64,E64)</f>
        <v>124</v>
      </c>
    </row>
    <row r="65" spans="1:7" ht="59.85" customHeight="1" x14ac:dyDescent="0.25">
      <c r="A65" s="15" t="s">
        <v>192</v>
      </c>
      <c r="B65" s="38" t="s">
        <v>193</v>
      </c>
      <c r="C65" s="37"/>
      <c r="D65" s="17" t="s">
        <v>499</v>
      </c>
      <c r="E65" s="17" t="s">
        <v>499</v>
      </c>
      <c r="F65" s="16"/>
      <c r="G65" s="16" t="str">
        <f>IF(Dashboard!$D$60="100-yr",D65,E65)</f>
        <v>Not Available</v>
      </c>
    </row>
    <row r="66" spans="1:7" ht="39.6" x14ac:dyDescent="0.25">
      <c r="A66" s="15" t="s">
        <v>194</v>
      </c>
      <c r="B66" s="38" t="s">
        <v>195</v>
      </c>
      <c r="C66" s="37"/>
      <c r="D66" s="39">
        <v>3141.1255000000001</v>
      </c>
      <c r="E66" s="40">
        <v>6029.0649999999996</v>
      </c>
      <c r="F66" s="16"/>
      <c r="G66" s="16">
        <f>IF(Dashboard!$D$60="100-yr",D66,E66)</f>
        <v>3141.1255000000001</v>
      </c>
    </row>
    <row r="67" spans="1:7" ht="39.6" x14ac:dyDescent="0.25">
      <c r="A67" s="15" t="s">
        <v>196</v>
      </c>
      <c r="B67" s="38" t="s">
        <v>197</v>
      </c>
      <c r="C67" s="37"/>
      <c r="D67" s="39">
        <v>2375.1999999999998</v>
      </c>
      <c r="E67" s="40">
        <v>5265.85</v>
      </c>
      <c r="F67" s="16"/>
      <c r="G67" s="16">
        <f>IF(Dashboard!$D$60="100-yr",D67,E67)</f>
        <v>2375.1999999999998</v>
      </c>
    </row>
    <row r="68" spans="1:7" ht="51.6" customHeight="1" x14ac:dyDescent="0.25">
      <c r="A68" s="15" t="s">
        <v>198</v>
      </c>
      <c r="B68" s="38" t="s">
        <v>199</v>
      </c>
      <c r="C68" s="37"/>
      <c r="D68" s="17">
        <v>1182.48</v>
      </c>
      <c r="E68" s="18">
        <v>3495.4100000000003</v>
      </c>
      <c r="F68" s="16"/>
      <c r="G68" s="16">
        <f>IF(Dashboard!$D$60="100-yr",D68,E68)</f>
        <v>1182.48</v>
      </c>
    </row>
    <row r="69" spans="1:7" ht="52.8" x14ac:dyDescent="0.25">
      <c r="A69" s="15" t="s">
        <v>200</v>
      </c>
      <c r="B69" s="38" t="s">
        <v>201</v>
      </c>
      <c r="C69" s="37"/>
      <c r="D69" s="17">
        <v>1288.26</v>
      </c>
      <c r="E69" s="18">
        <v>3775.27</v>
      </c>
      <c r="F69" s="16"/>
      <c r="G69" s="16">
        <f>IF(Dashboard!$D$60="100-yr",D69,E69)</f>
        <v>1288.26</v>
      </c>
    </row>
    <row r="70" spans="1:7" ht="55.5" customHeight="1" x14ac:dyDescent="0.25">
      <c r="A70" s="15" t="s">
        <v>202</v>
      </c>
      <c r="B70" s="38" t="s">
        <v>203</v>
      </c>
      <c r="C70" s="37"/>
      <c r="D70" s="17">
        <v>932.58</v>
      </c>
      <c r="E70" s="18">
        <v>2844.7500000000005</v>
      </c>
      <c r="F70" s="16"/>
      <c r="G70" s="16">
        <f>IF(Dashboard!$D$60="100-yr",D70,E70)</f>
        <v>932.58</v>
      </c>
    </row>
    <row r="71" spans="1:7" ht="39.6" x14ac:dyDescent="0.25">
      <c r="A71" s="15" t="s">
        <v>204</v>
      </c>
      <c r="B71" s="38" t="s">
        <v>205</v>
      </c>
      <c r="C71" s="37"/>
      <c r="D71" s="17">
        <v>2788</v>
      </c>
      <c r="E71" s="18">
        <v>5770.866</v>
      </c>
      <c r="F71" s="16"/>
      <c r="G71" s="16">
        <f>IF(Dashboard!$D$60="100-yr",D71,E71)</f>
        <v>2788</v>
      </c>
    </row>
    <row r="72" spans="1:7" ht="39.6" x14ac:dyDescent="0.25">
      <c r="A72" s="15" t="s">
        <v>206</v>
      </c>
      <c r="B72" s="38" t="s">
        <v>207</v>
      </c>
      <c r="C72" s="37"/>
      <c r="D72" s="17">
        <v>2416</v>
      </c>
      <c r="E72" s="18">
        <v>5509.0659999999998</v>
      </c>
      <c r="F72" s="16"/>
      <c r="G72" s="16">
        <f>IF(Dashboard!$D$60="100-yr",D72,E72)</f>
        <v>2416</v>
      </c>
    </row>
    <row r="73" spans="1:7" ht="39.6" x14ac:dyDescent="0.25">
      <c r="A73" s="15" t="s">
        <v>208</v>
      </c>
      <c r="B73" s="38" t="s">
        <v>209</v>
      </c>
      <c r="C73" s="37"/>
      <c r="D73" s="17">
        <v>4458</v>
      </c>
      <c r="E73" s="18">
        <v>5350.665</v>
      </c>
      <c r="F73" s="16"/>
      <c r="G73" s="16">
        <f>IF(Dashboard!$D$60="100-yr",D73,E73)</f>
        <v>4458</v>
      </c>
    </row>
    <row r="74" spans="1:7" ht="66" x14ac:dyDescent="0.25">
      <c r="A74" s="15" t="s">
        <v>210</v>
      </c>
      <c r="B74" s="38" t="s">
        <v>211</v>
      </c>
      <c r="C74" s="37" t="s">
        <v>212</v>
      </c>
      <c r="D74" s="37">
        <v>3921.6000000000004</v>
      </c>
      <c r="E74" s="42">
        <v>6010</v>
      </c>
      <c r="F74" s="16"/>
      <c r="G74" s="16">
        <f>IF(Dashboard!$D$60="100-yr",D74,E74)</f>
        <v>3921.6000000000004</v>
      </c>
    </row>
    <row r="75" spans="1:7" ht="39.6" x14ac:dyDescent="0.25">
      <c r="A75" s="15" t="s">
        <v>213</v>
      </c>
      <c r="B75" s="38" t="s">
        <v>214</v>
      </c>
      <c r="C75" s="37"/>
      <c r="D75" s="37">
        <v>1942.7199999999998</v>
      </c>
      <c r="E75" s="42">
        <v>5089.0200000000004</v>
      </c>
      <c r="F75" s="16"/>
      <c r="G75" s="16">
        <f>IF(Dashboard!$D$60="100-yr",D75,E75)</f>
        <v>1942.7199999999998</v>
      </c>
    </row>
    <row r="76" spans="1:7" ht="52.8" x14ac:dyDescent="0.25">
      <c r="A76" s="15" t="s">
        <v>215</v>
      </c>
      <c r="B76" s="38" t="s">
        <v>216</v>
      </c>
      <c r="C76" s="37" t="s">
        <v>217</v>
      </c>
      <c r="D76" s="37">
        <v>2107</v>
      </c>
      <c r="E76" s="42">
        <v>4538</v>
      </c>
      <c r="F76" s="16"/>
      <c r="G76" s="16">
        <f>IF(Dashboard!$D$60="100-yr",D76,E76)</f>
        <v>2107</v>
      </c>
    </row>
    <row r="77" spans="1:7" ht="39.6" x14ac:dyDescent="0.25">
      <c r="A77" s="15" t="s">
        <v>218</v>
      </c>
      <c r="B77" s="38" t="s">
        <v>219</v>
      </c>
      <c r="C77" s="37"/>
      <c r="D77" s="37">
        <v>2245</v>
      </c>
      <c r="E77" s="42">
        <v>4494</v>
      </c>
      <c r="F77" s="16"/>
      <c r="G77" s="16">
        <f>IF(Dashboard!$D$60="100-yr",D77,E77)</f>
        <v>2245</v>
      </c>
    </row>
    <row r="78" spans="1:7" ht="39.6" x14ac:dyDescent="0.25">
      <c r="A78" s="15" t="s">
        <v>220</v>
      </c>
      <c r="B78" s="38" t="s">
        <v>221</v>
      </c>
      <c r="C78" s="37"/>
      <c r="D78" s="17">
        <v>1773.85</v>
      </c>
      <c r="E78" s="18">
        <v>4115</v>
      </c>
      <c r="F78" s="16"/>
      <c r="G78" s="16">
        <f>IF(Dashboard!$D$60="100-yr",D78,E78)</f>
        <v>1773.85</v>
      </c>
    </row>
    <row r="79" spans="1:7" ht="39.6" x14ac:dyDescent="0.25">
      <c r="A79" s="15" t="s">
        <v>222</v>
      </c>
      <c r="B79" s="38" t="s">
        <v>223</v>
      </c>
      <c r="C79" s="37"/>
      <c r="D79" s="43">
        <v>1627.25</v>
      </c>
      <c r="E79" s="44">
        <v>3983</v>
      </c>
      <c r="F79" s="16"/>
      <c r="G79" s="16">
        <f>IF(Dashboard!$D$60="100-yr",D79,E79)</f>
        <v>1627.25</v>
      </c>
    </row>
    <row r="80" spans="1:7" ht="39.6" x14ac:dyDescent="0.25">
      <c r="A80" s="15" t="s">
        <v>224</v>
      </c>
      <c r="B80" s="38" t="s">
        <v>225</v>
      </c>
      <c r="C80" s="37"/>
      <c r="D80" s="17">
        <v>1824.5</v>
      </c>
      <c r="E80" s="18">
        <v>4136</v>
      </c>
      <c r="F80" s="16"/>
      <c r="G80" s="16">
        <f>IF(Dashboard!$D$60="100-yr",D80,E80)</f>
        <v>1824.5</v>
      </c>
    </row>
    <row r="81" spans="1:7" ht="39.6" x14ac:dyDescent="0.25">
      <c r="A81" s="15" t="s">
        <v>226</v>
      </c>
      <c r="B81" s="38" t="s">
        <v>227</v>
      </c>
      <c r="C81" s="37"/>
      <c r="D81" s="17">
        <v>1495.125</v>
      </c>
      <c r="E81" s="18">
        <v>3720.5</v>
      </c>
      <c r="F81" s="16"/>
      <c r="G81" s="16">
        <f>IF(Dashboard!$D$60="100-yr",D81,E81)</f>
        <v>1495.125</v>
      </c>
    </row>
    <row r="82" spans="1:7" ht="39.6" x14ac:dyDescent="0.25">
      <c r="A82" s="15" t="s">
        <v>228</v>
      </c>
      <c r="B82" s="38" t="s">
        <v>229</v>
      </c>
      <c r="C82" s="37"/>
      <c r="D82" s="17">
        <v>3151.9000000000005</v>
      </c>
      <c r="E82" s="18">
        <v>5579.1</v>
      </c>
      <c r="F82" s="16"/>
      <c r="G82" s="16">
        <f>IF(Dashboard!$D$60="100-yr",D82,E82)</f>
        <v>3151.9000000000005</v>
      </c>
    </row>
    <row r="83" spans="1:7" ht="55.35" customHeight="1" x14ac:dyDescent="0.25">
      <c r="A83" s="15" t="s">
        <v>230</v>
      </c>
      <c r="B83" s="38" t="s">
        <v>231</v>
      </c>
      <c r="C83" s="37"/>
      <c r="D83" s="39">
        <v>1585</v>
      </c>
      <c r="E83" s="40">
        <v>4437</v>
      </c>
      <c r="F83" s="16"/>
      <c r="G83" s="16">
        <f>IF(Dashboard!$D$60="100-yr",D83,E83)</f>
        <v>1585</v>
      </c>
    </row>
    <row r="84" spans="1:7" ht="52.8" x14ac:dyDescent="0.25">
      <c r="A84" s="15" t="s">
        <v>232</v>
      </c>
      <c r="B84" s="38" t="s">
        <v>233</v>
      </c>
      <c r="C84" s="37" t="s">
        <v>217</v>
      </c>
      <c r="D84" s="37">
        <v>2087.5</v>
      </c>
      <c r="E84" s="42">
        <v>4340</v>
      </c>
      <c r="F84" s="16"/>
      <c r="G84" s="16">
        <f>IF(Dashboard!$D$60="100-yr",D84,E84)</f>
        <v>2087.5</v>
      </c>
    </row>
    <row r="85" spans="1:7" ht="52.8" x14ac:dyDescent="0.25">
      <c r="A85" s="15" t="s">
        <v>234</v>
      </c>
      <c r="B85" s="38" t="s">
        <v>235</v>
      </c>
      <c r="C85" s="37" t="s">
        <v>217</v>
      </c>
      <c r="D85" s="37">
        <v>2228.75</v>
      </c>
      <c r="E85" s="42">
        <v>4541</v>
      </c>
      <c r="F85" s="16"/>
      <c r="G85" s="16">
        <f>IF(Dashboard!$D$60="100-yr",D85,E85)</f>
        <v>2228.75</v>
      </c>
    </row>
    <row r="86" spans="1:7" ht="39.6" x14ac:dyDescent="0.25">
      <c r="A86" s="41" t="s">
        <v>236</v>
      </c>
      <c r="B86" s="38" t="s">
        <v>237</v>
      </c>
      <c r="C86" s="37"/>
      <c r="D86" s="37">
        <v>1597.4350000000002</v>
      </c>
      <c r="E86" s="42">
        <v>4563.1149999999998</v>
      </c>
      <c r="F86" s="16"/>
      <c r="G86" s="16">
        <f>IF(Dashboard!$D$60="100-yr",D86,E86)</f>
        <v>1597.4350000000002</v>
      </c>
    </row>
    <row r="87" spans="1:7" ht="39.6" x14ac:dyDescent="0.25">
      <c r="A87" s="41" t="s">
        <v>238</v>
      </c>
      <c r="B87" s="38" t="s">
        <v>239</v>
      </c>
      <c r="C87" s="37"/>
      <c r="D87" s="37">
        <v>1705.2099999999998</v>
      </c>
      <c r="E87" s="42">
        <v>4863.5999999999995</v>
      </c>
      <c r="F87" s="16"/>
      <c r="G87" s="16">
        <f>IF(Dashboard!$D$60="100-yr",D87,E87)</f>
        <v>1705.2099999999998</v>
      </c>
    </row>
    <row r="88" spans="1:7" ht="39.6" x14ac:dyDescent="0.25">
      <c r="A88" s="15" t="s">
        <v>240</v>
      </c>
      <c r="B88" s="38" t="s">
        <v>241</v>
      </c>
      <c r="C88" s="37"/>
      <c r="D88" s="39">
        <v>2053</v>
      </c>
      <c r="E88" s="40">
        <v>3938.4500000000003</v>
      </c>
      <c r="F88" s="16"/>
      <c r="G88" s="16">
        <f>IF(Dashboard!$D$60="100-yr",D88,E88)</f>
        <v>2053</v>
      </c>
    </row>
    <row r="89" spans="1:7" ht="52.8" x14ac:dyDescent="0.25">
      <c r="A89" s="41" t="s">
        <v>242</v>
      </c>
      <c r="B89" s="38" t="s">
        <v>243</v>
      </c>
      <c r="C89" s="37"/>
      <c r="D89" s="39">
        <v>1478</v>
      </c>
      <c r="E89" s="40">
        <v>3768.42</v>
      </c>
      <c r="F89" s="16"/>
      <c r="G89" s="16">
        <f>IF(Dashboard!$D$60="100-yr",D89,E89)</f>
        <v>1478</v>
      </c>
    </row>
    <row r="90" spans="1:7" ht="52.8" x14ac:dyDescent="0.25">
      <c r="A90" s="15" t="s">
        <v>244</v>
      </c>
      <c r="B90" s="38" t="s">
        <v>245</v>
      </c>
      <c r="C90" s="37"/>
      <c r="D90" s="39">
        <v>1362</v>
      </c>
      <c r="E90" s="40">
        <v>3898.5450000000001</v>
      </c>
      <c r="F90" s="16"/>
      <c r="G90" s="16">
        <f>IF(Dashboard!$D$60="100-yr",D90,E90)</f>
        <v>1362</v>
      </c>
    </row>
    <row r="91" spans="1:7" ht="52.8" x14ac:dyDescent="0.25">
      <c r="A91" s="15" t="s">
        <v>246</v>
      </c>
      <c r="B91" s="38" t="s">
        <v>247</v>
      </c>
      <c r="C91" s="37"/>
      <c r="D91" s="39">
        <v>1084.3</v>
      </c>
      <c r="E91" s="40">
        <v>3077.395</v>
      </c>
      <c r="F91" s="16"/>
      <c r="G91" s="16">
        <f>IF(Dashboard!$D$60="100-yr",D91,E91)</f>
        <v>1084.3</v>
      </c>
    </row>
    <row r="92" spans="1:7" ht="39.6" x14ac:dyDescent="0.25">
      <c r="A92" s="15" t="s">
        <v>248</v>
      </c>
      <c r="B92" s="38" t="s">
        <v>249</v>
      </c>
      <c r="C92" s="37"/>
      <c r="D92" s="39">
        <v>2346.1019999999999</v>
      </c>
      <c r="E92" s="40">
        <v>4874.2020000000002</v>
      </c>
      <c r="F92" s="16"/>
      <c r="G92" s="16">
        <f>IF(Dashboard!$D$60="100-yr",D92,E92)</f>
        <v>2346.1019999999999</v>
      </c>
    </row>
    <row r="93" spans="1:7" ht="39.6" x14ac:dyDescent="0.25">
      <c r="A93" s="15" t="s">
        <v>250</v>
      </c>
      <c r="B93" s="38" t="s">
        <v>251</v>
      </c>
      <c r="C93" s="37"/>
      <c r="D93" s="39">
        <v>3026.0574999999999</v>
      </c>
      <c r="E93" s="40">
        <v>5715.5575000000008</v>
      </c>
      <c r="F93" s="16"/>
      <c r="G93" s="16">
        <f>IF(Dashboard!$D$60="100-yr",D93,E93)</f>
        <v>3026.0574999999999</v>
      </c>
    </row>
    <row r="94" spans="1:7" ht="39.6" x14ac:dyDescent="0.25">
      <c r="A94" s="15" t="s">
        <v>252</v>
      </c>
      <c r="B94" s="38" t="s">
        <v>189</v>
      </c>
      <c r="C94" s="37"/>
      <c r="D94" s="39">
        <v>1809.4080000000001</v>
      </c>
      <c r="E94" s="40">
        <v>4256.375</v>
      </c>
      <c r="F94" s="16"/>
      <c r="G94" s="16">
        <f>IF(Dashboard!$D$60="100-yr",D94,E94)</f>
        <v>1809.4080000000001</v>
      </c>
    </row>
    <row r="95" spans="1:7" ht="26.4" x14ac:dyDescent="0.25">
      <c r="A95" s="15" t="s">
        <v>253</v>
      </c>
      <c r="B95" s="38" t="s">
        <v>254</v>
      </c>
      <c r="C95" s="37"/>
      <c r="D95" s="39">
        <v>1535.6000000000001</v>
      </c>
      <c r="E95" s="40">
        <v>4029.2</v>
      </c>
      <c r="F95" s="16"/>
      <c r="G95" s="16">
        <f>IF(Dashboard!$D$60="100-yr",D95,E95)</f>
        <v>1535.6000000000001</v>
      </c>
    </row>
    <row r="96" spans="1:7" ht="26.4" x14ac:dyDescent="0.25">
      <c r="A96" s="41" t="s">
        <v>255</v>
      </c>
      <c r="B96" s="38" t="s">
        <v>256</v>
      </c>
      <c r="C96" s="37"/>
      <c r="D96" s="39">
        <v>2630.6</v>
      </c>
      <c r="E96" s="40">
        <v>5291.5999999999995</v>
      </c>
      <c r="F96" s="16"/>
      <c r="G96" s="16">
        <f>IF(Dashboard!$D$60="100-yr",D96,E96)</f>
        <v>2630.6</v>
      </c>
    </row>
    <row r="97" spans="1:7" ht="26.4" x14ac:dyDescent="0.25">
      <c r="A97" s="41" t="s">
        <v>257</v>
      </c>
      <c r="B97" s="38" t="s">
        <v>258</v>
      </c>
      <c r="C97" s="37"/>
      <c r="D97" s="39">
        <v>3189.5</v>
      </c>
      <c r="E97" s="40">
        <v>5972</v>
      </c>
      <c r="F97" s="16"/>
      <c r="G97" s="16">
        <f>IF(Dashboard!$D$60="100-yr",D97,E97)</f>
        <v>3189.5</v>
      </c>
    </row>
    <row r="98" spans="1:7" ht="39.6" x14ac:dyDescent="0.25">
      <c r="A98" s="15" t="s">
        <v>259</v>
      </c>
      <c r="B98" s="38" t="s">
        <v>260</v>
      </c>
      <c r="C98" s="37"/>
      <c r="D98" s="39">
        <v>3143.0519999999997</v>
      </c>
      <c r="E98" s="40">
        <v>5844.4019999999991</v>
      </c>
      <c r="F98" s="16"/>
      <c r="G98" s="16">
        <f>IF(Dashboard!$D$60="100-yr",D98,E98)</f>
        <v>3143.0519999999997</v>
      </c>
    </row>
    <row r="99" spans="1:7" ht="39.6" x14ac:dyDescent="0.25">
      <c r="A99" s="15" t="s">
        <v>261</v>
      </c>
      <c r="B99" s="38" t="s">
        <v>262</v>
      </c>
      <c r="C99" s="37"/>
      <c r="D99" s="39">
        <v>2525.6900000000005</v>
      </c>
      <c r="E99" s="40">
        <v>5101.1900000000005</v>
      </c>
      <c r="F99" s="16"/>
      <c r="G99" s="16">
        <f>IF(Dashboard!$D$60="100-yr",D99,E99)</f>
        <v>2525.6900000000005</v>
      </c>
    </row>
    <row r="100" spans="1:7" ht="39.6" x14ac:dyDescent="0.25">
      <c r="A100" s="15" t="s">
        <v>263</v>
      </c>
      <c r="B100" s="38" t="s">
        <v>264</v>
      </c>
      <c r="C100" s="37"/>
      <c r="D100" s="39">
        <v>3084.59</v>
      </c>
      <c r="E100" s="40">
        <v>5781.59</v>
      </c>
      <c r="F100" s="16"/>
      <c r="G100" s="16">
        <f>IF(Dashboard!$D$60="100-yr",D100,E100)</f>
        <v>3084.59</v>
      </c>
    </row>
    <row r="101" spans="1:7" ht="39.6" x14ac:dyDescent="0.25">
      <c r="A101" s="15" t="s">
        <v>265</v>
      </c>
      <c r="B101" s="38" t="s">
        <v>266</v>
      </c>
      <c r="C101" s="37"/>
      <c r="D101" s="39">
        <v>2729.0519999999997</v>
      </c>
      <c r="E101" s="40">
        <v>5340.402</v>
      </c>
      <c r="F101" s="16"/>
      <c r="G101" s="16">
        <f>IF(Dashboard!$D$60="100-yr",D101,E101)</f>
        <v>2729.0519999999997</v>
      </c>
    </row>
    <row r="102" spans="1:7" ht="39.6" x14ac:dyDescent="0.25">
      <c r="A102" s="15" t="s">
        <v>267</v>
      </c>
      <c r="B102" s="38" t="s">
        <v>268</v>
      </c>
      <c r="C102" s="37"/>
      <c r="D102" s="39">
        <v>2280.25</v>
      </c>
      <c r="E102" s="40">
        <v>4533</v>
      </c>
      <c r="F102" s="16"/>
      <c r="G102" s="16">
        <f>IF(Dashboard!$D$60="100-yr",D102,E102)</f>
        <v>2280.25</v>
      </c>
    </row>
    <row r="103" spans="1:7" ht="66" x14ac:dyDescent="0.25">
      <c r="A103" s="15" t="s">
        <v>269</v>
      </c>
      <c r="B103" s="38" t="s">
        <v>270</v>
      </c>
      <c r="C103" s="37"/>
      <c r="D103" s="39">
        <v>2439.6161000000002</v>
      </c>
      <c r="E103" s="40">
        <v>5006.8661000000002</v>
      </c>
      <c r="F103" s="16"/>
      <c r="G103" s="16">
        <f>IF(Dashboard!$D$60="100-yr",D103,E103)</f>
        <v>2439.6161000000002</v>
      </c>
    </row>
    <row r="104" spans="1:7" ht="52.8" x14ac:dyDescent="0.25">
      <c r="A104" s="15" t="s">
        <v>271</v>
      </c>
      <c r="B104" s="38" t="s">
        <v>272</v>
      </c>
      <c r="C104" s="37"/>
      <c r="D104" s="39">
        <v>1508.47</v>
      </c>
      <c r="E104" s="40">
        <v>3885.82</v>
      </c>
      <c r="F104" s="16"/>
      <c r="G104" s="16">
        <f>IF(Dashboard!$D$60="100-yr",D104,E104)</f>
        <v>1508.47</v>
      </c>
    </row>
    <row r="105" spans="1:7" ht="52.8" x14ac:dyDescent="0.25">
      <c r="A105" s="15" t="s">
        <v>273</v>
      </c>
      <c r="B105" s="38" t="s">
        <v>274</v>
      </c>
      <c r="C105" s="37"/>
      <c r="D105" s="39">
        <v>2138.25</v>
      </c>
      <c r="E105" s="40">
        <v>4441</v>
      </c>
      <c r="F105" s="16"/>
      <c r="G105" s="16">
        <f>IF(Dashboard!$D$60="100-yr",D105,E105)</f>
        <v>2138.25</v>
      </c>
    </row>
    <row r="106" spans="1:7" ht="52.8" x14ac:dyDescent="0.25">
      <c r="A106" s="15" t="s">
        <v>275</v>
      </c>
      <c r="B106" s="38" t="s">
        <v>276</v>
      </c>
      <c r="C106" s="37"/>
      <c r="D106" s="39">
        <v>3607.3598000000002</v>
      </c>
      <c r="E106" s="40">
        <v>6100.1098000000002</v>
      </c>
      <c r="F106" s="16"/>
      <c r="G106" s="16">
        <f>IF(Dashboard!$D$60="100-yr",D106,E106)</f>
        <v>3607.3598000000002</v>
      </c>
    </row>
    <row r="107" spans="1:7" ht="52.8" x14ac:dyDescent="0.25">
      <c r="A107" s="15" t="s">
        <v>277</v>
      </c>
      <c r="B107" s="38" t="s">
        <v>278</v>
      </c>
      <c r="C107" s="37"/>
      <c r="D107" s="39">
        <v>3245.4839999999999</v>
      </c>
      <c r="E107" s="40">
        <v>5686.2839999999997</v>
      </c>
      <c r="F107" s="16"/>
      <c r="G107" s="16">
        <f>IF(Dashboard!$D$60="100-yr",D107,E107)</f>
        <v>3245.4839999999999</v>
      </c>
    </row>
    <row r="108" spans="1:7" ht="26.4" x14ac:dyDescent="0.25">
      <c r="A108" s="15" t="s">
        <v>279</v>
      </c>
      <c r="B108" s="38" t="s">
        <v>280</v>
      </c>
      <c r="C108" s="37"/>
      <c r="D108" s="39">
        <v>5</v>
      </c>
      <c r="E108" s="40">
        <v>5</v>
      </c>
      <c r="F108" s="16"/>
      <c r="G108" s="16">
        <f>IF(Dashboard!$D$60="100-yr",D108,E108)</f>
        <v>5</v>
      </c>
    </row>
    <row r="109" spans="1:7" ht="52.8" x14ac:dyDescent="0.25">
      <c r="A109" s="15" t="s">
        <v>281</v>
      </c>
      <c r="B109" s="38" t="s">
        <v>282</v>
      </c>
      <c r="C109" s="37"/>
      <c r="D109" s="39">
        <v>1805.164</v>
      </c>
      <c r="E109" s="40">
        <v>4244.9139999999998</v>
      </c>
      <c r="F109" s="16"/>
      <c r="G109" s="16">
        <f>IF(Dashboard!$D$60="100-yr",D109,E109)</f>
        <v>1805.164</v>
      </c>
    </row>
    <row r="110" spans="1:7" ht="79.349999999999994" customHeight="1" x14ac:dyDescent="0.25">
      <c r="A110" s="15" t="s">
        <v>283</v>
      </c>
      <c r="B110" s="38" t="s">
        <v>284</v>
      </c>
      <c r="C110" s="37"/>
      <c r="D110" s="39">
        <v>2237.98</v>
      </c>
      <c r="E110" s="40">
        <v>4659.2299999999996</v>
      </c>
      <c r="F110" s="16"/>
      <c r="G110" s="16">
        <f>IF(Dashboard!$D$60="100-yr",D110,E110)</f>
        <v>2237.98</v>
      </c>
    </row>
    <row r="111" spans="1:7" ht="52.8" x14ac:dyDescent="0.25">
      <c r="A111" s="15" t="s">
        <v>285</v>
      </c>
      <c r="B111" s="38" t="s">
        <v>286</v>
      </c>
      <c r="C111" s="37"/>
      <c r="D111" s="39">
        <v>5</v>
      </c>
      <c r="E111" s="40">
        <v>5</v>
      </c>
      <c r="F111" s="16"/>
      <c r="G111" s="16">
        <f>IF(Dashboard!$D$60="100-yr",D111,E111)</f>
        <v>5</v>
      </c>
    </row>
    <row r="112" spans="1:7" ht="79.2" x14ac:dyDescent="0.25">
      <c r="A112" s="15" t="s">
        <v>287</v>
      </c>
      <c r="B112" s="38" t="s">
        <v>288</v>
      </c>
      <c r="C112" s="37"/>
      <c r="D112" s="39">
        <v>1887.97</v>
      </c>
      <c r="E112" s="40">
        <v>4118.41</v>
      </c>
      <c r="F112" s="16"/>
      <c r="G112" s="16">
        <f>IF(Dashboard!$D$60="100-yr",D112,E112)</f>
        <v>1887.97</v>
      </c>
    </row>
    <row r="113" spans="1:7" ht="39.6" x14ac:dyDescent="0.25">
      <c r="A113" s="15" t="s">
        <v>289</v>
      </c>
      <c r="B113" s="38" t="s">
        <v>290</v>
      </c>
      <c r="C113" s="37"/>
      <c r="D113" s="17" t="s">
        <v>499</v>
      </c>
      <c r="E113" s="17" t="s">
        <v>499</v>
      </c>
      <c r="F113" s="16"/>
      <c r="G113" s="16" t="str">
        <f>IF(Dashboard!$D$60="100-yr",D113,E113)</f>
        <v>Not Available</v>
      </c>
    </row>
    <row r="114" spans="1:7" ht="39.6" x14ac:dyDescent="0.25">
      <c r="A114" s="15" t="s">
        <v>291</v>
      </c>
      <c r="B114" s="38" t="s">
        <v>292</v>
      </c>
      <c r="C114" s="37" t="s">
        <v>293</v>
      </c>
      <c r="D114" s="39">
        <v>88.03</v>
      </c>
      <c r="E114" s="40">
        <v>302.27999999999997</v>
      </c>
      <c r="F114" s="16"/>
      <c r="G114" s="16">
        <f>IF(Dashboard!$D$60="100-yr",D114,E114)</f>
        <v>88.03</v>
      </c>
    </row>
    <row r="115" spans="1:7" ht="45.6" customHeight="1" x14ac:dyDescent="0.25">
      <c r="A115" s="15" t="s">
        <v>294</v>
      </c>
      <c r="B115" s="38" t="s">
        <v>295</v>
      </c>
      <c r="C115" s="37" t="s">
        <v>293</v>
      </c>
      <c r="D115" s="39">
        <v>293.01</v>
      </c>
      <c r="E115" s="40">
        <v>1011.135</v>
      </c>
      <c r="F115" s="16"/>
      <c r="G115" s="16">
        <f>IF(Dashboard!$D$60="100-yr",D115,E115)</f>
        <v>293.01</v>
      </c>
    </row>
    <row r="116" spans="1:7" ht="49.5" customHeight="1" x14ac:dyDescent="0.25">
      <c r="A116" s="15" t="s">
        <v>296</v>
      </c>
      <c r="B116" s="38" t="s">
        <v>297</v>
      </c>
      <c r="C116" s="37" t="s">
        <v>293</v>
      </c>
      <c r="D116" s="39">
        <v>129.60999999999999</v>
      </c>
      <c r="E116" s="40">
        <v>345.61</v>
      </c>
      <c r="F116" s="16"/>
      <c r="G116" s="16">
        <f>IF(Dashboard!$D$60="100-yr",D116,E116)</f>
        <v>129.60999999999999</v>
      </c>
    </row>
    <row r="117" spans="1:7" ht="49.5" customHeight="1" x14ac:dyDescent="0.25">
      <c r="A117" s="15" t="s">
        <v>298</v>
      </c>
      <c r="B117" s="38" t="s">
        <v>299</v>
      </c>
      <c r="C117" s="37" t="s">
        <v>293</v>
      </c>
      <c r="D117" s="39">
        <v>459.38000000000005</v>
      </c>
      <c r="E117" s="40">
        <v>1584.78</v>
      </c>
      <c r="F117" s="16"/>
      <c r="G117" s="16">
        <f>IF(Dashboard!$D$60="100-yr",D117,E117)</f>
        <v>459.38000000000005</v>
      </c>
    </row>
    <row r="118" spans="1:7" ht="39.6" x14ac:dyDescent="0.25">
      <c r="A118" s="15" t="s">
        <v>300</v>
      </c>
      <c r="B118" s="38" t="s">
        <v>301</v>
      </c>
      <c r="C118" s="37" t="s">
        <v>293</v>
      </c>
      <c r="D118" s="39">
        <v>600</v>
      </c>
      <c r="E118" s="17" t="s">
        <v>499</v>
      </c>
      <c r="F118" s="16"/>
      <c r="G118" s="16">
        <f>IF(Dashboard!$D$60="100-yr",D118,E118)</f>
        <v>600</v>
      </c>
    </row>
    <row r="119" spans="1:7" ht="39.6" x14ac:dyDescent="0.25">
      <c r="A119" s="15" t="s">
        <v>302</v>
      </c>
      <c r="B119" s="38" t="s">
        <v>303</v>
      </c>
      <c r="C119" s="37"/>
      <c r="D119" s="39">
        <v>739.24</v>
      </c>
      <c r="E119" s="40">
        <v>2092.6400000000003</v>
      </c>
      <c r="F119" s="16"/>
      <c r="G119" s="16">
        <f>IF(Dashboard!$D$60="100-yr",D119,E119)</f>
        <v>739.24</v>
      </c>
    </row>
    <row r="120" spans="1:7" ht="79.2" x14ac:dyDescent="0.25">
      <c r="A120" s="15" t="s">
        <v>304</v>
      </c>
      <c r="B120" s="38" t="s">
        <v>305</v>
      </c>
      <c r="C120" s="37"/>
      <c r="D120" s="39">
        <v>1386.07</v>
      </c>
      <c r="E120" s="40">
        <v>3061.3700000000003</v>
      </c>
      <c r="F120" s="16"/>
      <c r="G120" s="16">
        <f>IF(Dashboard!$D$60="100-yr",D120,E120)</f>
        <v>1386.07</v>
      </c>
    </row>
    <row r="121" spans="1:7" ht="66" x14ac:dyDescent="0.25">
      <c r="A121" s="15" t="s">
        <v>306</v>
      </c>
      <c r="B121" s="38" t="s">
        <v>307</v>
      </c>
      <c r="C121" s="37"/>
      <c r="D121" s="39">
        <v>1396.288</v>
      </c>
      <c r="E121" s="40">
        <v>3119.203</v>
      </c>
      <c r="F121" s="16"/>
      <c r="G121" s="16">
        <f>IF(Dashboard!$D$60="100-yr",D121,E121)</f>
        <v>1396.288</v>
      </c>
    </row>
    <row r="122" spans="1:7" ht="66" x14ac:dyDescent="0.25">
      <c r="A122" s="15" t="s">
        <v>308</v>
      </c>
      <c r="B122" s="38" t="s">
        <v>309</v>
      </c>
      <c r="C122" s="37"/>
      <c r="D122" s="39">
        <v>1411.222</v>
      </c>
      <c r="E122" s="40">
        <v>3176.0320000000002</v>
      </c>
      <c r="F122" s="16"/>
      <c r="G122" s="16">
        <f>IF(Dashboard!$D$60="100-yr",D122,E122)</f>
        <v>1411.222</v>
      </c>
    </row>
    <row r="123" spans="1:7" ht="26.4" x14ac:dyDescent="0.25">
      <c r="A123" s="15" t="s">
        <v>310</v>
      </c>
      <c r="B123" s="38" t="s">
        <v>311</v>
      </c>
      <c r="C123" s="37"/>
      <c r="D123" s="39">
        <v>601.18000000000006</v>
      </c>
      <c r="E123" s="17" t="s">
        <v>499</v>
      </c>
      <c r="F123" s="16"/>
      <c r="G123" s="16">
        <f>IF(Dashboard!$D$60="100-yr",D123,E123)</f>
        <v>601.18000000000006</v>
      </c>
    </row>
    <row r="124" spans="1:7" ht="26.4" x14ac:dyDescent="0.25">
      <c r="A124" s="15" t="s">
        <v>312</v>
      </c>
      <c r="B124" s="38" t="s">
        <v>313</v>
      </c>
      <c r="C124" s="37"/>
      <c r="D124" s="39">
        <v>146.75799999999998</v>
      </c>
      <c r="E124" s="17" t="s">
        <v>499</v>
      </c>
      <c r="F124" s="16"/>
      <c r="G124" s="16">
        <f>IF(Dashboard!$D$60="100-yr",D124,E124)</f>
        <v>146.75799999999998</v>
      </c>
    </row>
    <row r="125" spans="1:7" ht="26.4" x14ac:dyDescent="0.25">
      <c r="A125" s="15" t="s">
        <v>314</v>
      </c>
      <c r="B125" s="38" t="s">
        <v>315</v>
      </c>
      <c r="C125" s="37"/>
      <c r="D125" s="39">
        <v>161.048</v>
      </c>
      <c r="E125" s="17" t="s">
        <v>499</v>
      </c>
      <c r="F125" s="16"/>
      <c r="G125" s="16">
        <f>IF(Dashboard!$D$60="100-yr",D125,E125)</f>
        <v>161.048</v>
      </c>
    </row>
    <row r="126" spans="1:7" ht="44.1" customHeight="1" x14ac:dyDescent="0.25">
      <c r="A126" s="15" t="s">
        <v>316</v>
      </c>
      <c r="B126" s="38" t="s">
        <v>317</v>
      </c>
      <c r="C126" s="37"/>
      <c r="D126" s="39">
        <v>2139.5500000000002</v>
      </c>
      <c r="E126" s="40">
        <v>4003.1000000000004</v>
      </c>
      <c r="F126" s="16"/>
      <c r="G126" s="16">
        <f>IF(Dashboard!$D$60="100-yr",D126,E126)</f>
        <v>2139.5500000000002</v>
      </c>
    </row>
    <row r="127" spans="1:7" ht="47.1" customHeight="1" x14ac:dyDescent="0.25">
      <c r="A127" s="15" t="s">
        <v>318</v>
      </c>
      <c r="B127" s="38" t="s">
        <v>319</v>
      </c>
      <c r="C127" s="37"/>
      <c r="D127" s="39">
        <v>697.51</v>
      </c>
      <c r="E127" s="40">
        <v>2005.8600000000001</v>
      </c>
      <c r="F127" s="16"/>
      <c r="G127" s="16">
        <f>IF(Dashboard!$D$60="100-yr",D127,E127)</f>
        <v>697.51</v>
      </c>
    </row>
    <row r="128" spans="1:7" ht="77.849999999999994" customHeight="1" x14ac:dyDescent="0.25">
      <c r="A128" s="15" t="s">
        <v>320</v>
      </c>
      <c r="B128" s="38" t="s">
        <v>321</v>
      </c>
      <c r="C128" s="37"/>
      <c r="D128" s="39">
        <v>2219.64</v>
      </c>
      <c r="E128" s="40">
        <v>4165.0150000000003</v>
      </c>
      <c r="F128" s="16"/>
      <c r="G128" s="16">
        <f>IF(Dashboard!$D$60="100-yr",D128,E128)</f>
        <v>2219.64</v>
      </c>
    </row>
    <row r="129" spans="1:12" ht="105.6" x14ac:dyDescent="0.25">
      <c r="A129" s="15" t="s">
        <v>322</v>
      </c>
      <c r="B129" s="38" t="s">
        <v>323</v>
      </c>
      <c r="C129" s="37"/>
      <c r="D129" s="39">
        <v>1765.3879999999999</v>
      </c>
      <c r="E129" s="40">
        <v>4062.0880000000002</v>
      </c>
      <c r="F129" s="16"/>
      <c r="G129" s="16">
        <f>IF(Dashboard!$D$60="100-yr",D129,E129)</f>
        <v>1765.3879999999999</v>
      </c>
    </row>
    <row r="130" spans="1:12" ht="26.4" x14ac:dyDescent="0.25">
      <c r="A130" s="15" t="s">
        <v>324</v>
      </c>
      <c r="B130" s="38" t="s">
        <v>325</v>
      </c>
      <c r="C130" s="37"/>
      <c r="D130" s="39">
        <v>239</v>
      </c>
      <c r="E130" s="40">
        <v>816.15</v>
      </c>
      <c r="F130" s="16"/>
      <c r="G130" s="16">
        <f>IF(Dashboard!$D$60="100-yr",D130,E130)</f>
        <v>239</v>
      </c>
    </row>
    <row r="131" spans="1:12" ht="26.4" x14ac:dyDescent="0.25">
      <c r="A131" s="15" t="s">
        <v>326</v>
      </c>
      <c r="B131" s="38" t="s">
        <v>327</v>
      </c>
      <c r="C131" s="37"/>
      <c r="D131" s="39">
        <v>465.99999999999994</v>
      </c>
      <c r="E131" s="40">
        <v>1605.6809999999998</v>
      </c>
      <c r="F131" s="16"/>
      <c r="G131" s="16">
        <f>IF(Dashboard!$D$60="100-yr",D131,E131)</f>
        <v>465.99999999999994</v>
      </c>
    </row>
    <row r="132" spans="1:12" ht="39.6" x14ac:dyDescent="0.25">
      <c r="A132" s="15" t="s">
        <v>328</v>
      </c>
      <c r="B132" s="38" t="s">
        <v>329</v>
      </c>
      <c r="C132" s="37"/>
      <c r="D132" s="17">
        <v>145.91</v>
      </c>
      <c r="E132" s="18">
        <v>501.73500000000001</v>
      </c>
      <c r="F132" s="16"/>
      <c r="G132" s="16">
        <f>IF(Dashboard!$D$60="100-yr",D132,E132)</f>
        <v>145.91</v>
      </c>
    </row>
    <row r="133" spans="1:12" ht="42" x14ac:dyDescent="0.35">
      <c r="A133" s="15" t="s">
        <v>330</v>
      </c>
      <c r="B133" s="38" t="s">
        <v>331</v>
      </c>
      <c r="C133" s="37"/>
      <c r="D133" s="39">
        <v>145.91</v>
      </c>
      <c r="E133" s="40">
        <v>501.73499999999996</v>
      </c>
      <c r="F133" s="16"/>
      <c r="G133" s="16">
        <f>IF(Dashboard!$D$60="100-yr",D133,E133)</f>
        <v>145.91</v>
      </c>
    </row>
    <row r="134" spans="1:12" ht="38.1" customHeight="1" x14ac:dyDescent="0.25">
      <c r="A134" s="15" t="s">
        <v>332</v>
      </c>
      <c r="B134" s="38" t="s">
        <v>333</v>
      </c>
      <c r="C134" s="37"/>
      <c r="D134" s="45">
        <v>684.49</v>
      </c>
      <c r="E134" s="45">
        <v>1863.79</v>
      </c>
      <c r="F134" s="16"/>
      <c r="G134" s="16">
        <f>IF(Dashboard!$D$60="100-yr",D134,E134)</f>
        <v>684.49</v>
      </c>
    </row>
    <row r="135" spans="1:12" ht="39.6" x14ac:dyDescent="0.25">
      <c r="A135" s="15" t="s">
        <v>334</v>
      </c>
      <c r="B135" s="38" t="s">
        <v>335</v>
      </c>
      <c r="C135" s="37"/>
      <c r="D135" s="17">
        <v>137.08000000000001</v>
      </c>
      <c r="E135" s="18">
        <v>472.53999999999996</v>
      </c>
      <c r="F135" s="16"/>
      <c r="G135" s="16">
        <f>IF(Dashboard!$D$60="100-yr",D135,E135)</f>
        <v>137.08000000000001</v>
      </c>
    </row>
    <row r="136" spans="1:12" ht="79.2" x14ac:dyDescent="0.25">
      <c r="A136" s="15" t="s">
        <v>336</v>
      </c>
      <c r="B136" s="38" t="s">
        <v>337</v>
      </c>
      <c r="C136" s="37"/>
      <c r="D136" s="17">
        <v>1649.9549999999999</v>
      </c>
      <c r="E136" s="18">
        <v>3848.72</v>
      </c>
      <c r="F136" s="16"/>
      <c r="G136" s="16">
        <f>IF(Dashboard!$D$60="100-yr",D136,E136)</f>
        <v>1649.9549999999999</v>
      </c>
    </row>
    <row r="137" spans="1:12" ht="78.599999999999994" customHeight="1" x14ac:dyDescent="0.25">
      <c r="A137" s="15" t="s">
        <v>338</v>
      </c>
      <c r="B137" s="38" t="s">
        <v>339</v>
      </c>
      <c r="C137" s="37"/>
      <c r="D137" s="17">
        <v>2767.1900000000005</v>
      </c>
      <c r="E137" s="18">
        <v>5278.1900000000005</v>
      </c>
      <c r="F137" s="16"/>
      <c r="G137" s="16">
        <f>IF(Dashboard!$D$60="100-yr",D137,E137)</f>
        <v>2767.1900000000005</v>
      </c>
    </row>
    <row r="138" spans="1:12" ht="66" x14ac:dyDescent="0.25">
      <c r="A138" s="15" t="s">
        <v>340</v>
      </c>
      <c r="B138" s="38" t="s">
        <v>341</v>
      </c>
      <c r="C138" s="37"/>
      <c r="D138" s="17">
        <v>2249.44</v>
      </c>
      <c r="E138" s="18">
        <v>4679.79</v>
      </c>
      <c r="F138" s="16"/>
      <c r="G138" s="16">
        <f>IF(Dashboard!$D$60="100-yr",D138,E138)</f>
        <v>2249.44</v>
      </c>
    </row>
    <row r="139" spans="1:12" ht="44.85" customHeight="1" x14ac:dyDescent="0.25">
      <c r="A139" s="15" t="s">
        <v>342</v>
      </c>
      <c r="B139" s="38" t="s">
        <v>343</v>
      </c>
      <c r="C139" s="37">
        <f>(0.49*C$27)+(0.115*C$28)+(0.395*C$53)</f>
        <v>5.786975</v>
      </c>
      <c r="D139" s="17">
        <v>733</v>
      </c>
      <c r="E139" s="18">
        <v>1872.345</v>
      </c>
      <c r="F139" s="16"/>
      <c r="G139" s="16">
        <f>IF(Dashboard!$D$60="100-yr",D139,E139)</f>
        <v>733</v>
      </c>
    </row>
    <row r="140" spans="1:12" ht="32.1" customHeight="1" x14ac:dyDescent="0.25">
      <c r="A140" s="15" t="s">
        <v>344</v>
      </c>
      <c r="B140" s="38" t="s">
        <v>345</v>
      </c>
      <c r="C140" s="37"/>
      <c r="D140" s="39">
        <v>8076.6880000000001</v>
      </c>
      <c r="E140" s="40">
        <v>8232.4940000000006</v>
      </c>
      <c r="F140" s="16"/>
      <c r="G140" s="16">
        <f>IF(Dashboard!$D$60="100-yr",D140,E140)</f>
        <v>8076.6880000000001</v>
      </c>
    </row>
    <row r="141" spans="1:12" ht="52.8" x14ac:dyDescent="0.25">
      <c r="A141" s="15" t="s">
        <v>346</v>
      </c>
      <c r="B141" s="38" t="s">
        <v>347</v>
      </c>
      <c r="C141" s="37" t="s">
        <v>348</v>
      </c>
      <c r="D141" s="17">
        <v>4656.72</v>
      </c>
      <c r="E141" s="18">
        <v>5236.8</v>
      </c>
      <c r="F141" s="16"/>
      <c r="G141" s="16">
        <f>IF(Dashboard!$D$60="100-yr",D141,E141)</f>
        <v>4656.72</v>
      </c>
    </row>
    <row r="142" spans="1:12" ht="32.85" customHeight="1" x14ac:dyDescent="0.25">
      <c r="A142" s="15" t="s">
        <v>349</v>
      </c>
      <c r="B142" s="38" t="s">
        <v>350</v>
      </c>
      <c r="C142" s="37"/>
      <c r="D142" s="17">
        <v>14560</v>
      </c>
      <c r="E142" s="18">
        <v>11280</v>
      </c>
      <c r="F142" s="16"/>
      <c r="G142" s="16">
        <f>IF(Dashboard!$D$60="100-yr",D142,E142)</f>
        <v>14560</v>
      </c>
    </row>
    <row r="143" spans="1:12" ht="53.4" x14ac:dyDescent="0.3">
      <c r="A143" s="15" t="s">
        <v>351</v>
      </c>
      <c r="B143" s="38" t="s">
        <v>352</v>
      </c>
      <c r="C143" s="37" t="s">
        <v>353</v>
      </c>
      <c r="D143" s="17">
        <v>3985</v>
      </c>
      <c r="E143" s="18">
        <v>6120</v>
      </c>
      <c r="F143" s="16"/>
      <c r="G143" s="16">
        <f>IF(Dashboard!$D$60="100-yr",D143,E143)</f>
        <v>3985</v>
      </c>
      <c r="L143"/>
    </row>
    <row r="144" spans="1:12" ht="27" x14ac:dyDescent="0.3">
      <c r="A144" s="15" t="s">
        <v>354</v>
      </c>
      <c r="B144" s="38" t="s">
        <v>355</v>
      </c>
      <c r="C144" s="37"/>
      <c r="D144" s="17">
        <v>13214</v>
      </c>
      <c r="E144" s="18">
        <v>9944.2999999999993</v>
      </c>
      <c r="F144" s="16"/>
      <c r="G144" s="16">
        <f>IF(Dashboard!$D$60="100-yr",D144,E144)</f>
        <v>13214</v>
      </c>
      <c r="L144"/>
    </row>
    <row r="145" spans="1:12" ht="27" x14ac:dyDescent="0.3">
      <c r="A145" s="15" t="s">
        <v>356</v>
      </c>
      <c r="B145" s="38" t="s">
        <v>357</v>
      </c>
      <c r="C145" s="37"/>
      <c r="D145" s="17">
        <v>13396</v>
      </c>
      <c r="E145" s="18">
        <v>10180.200000000001</v>
      </c>
      <c r="F145" s="16"/>
      <c r="G145" s="16">
        <f>IF(Dashboard!$D$60="100-yr",D145,E145)</f>
        <v>13396</v>
      </c>
      <c r="L145"/>
    </row>
    <row r="146" spans="1:12" ht="42.6" customHeight="1" x14ac:dyDescent="0.3">
      <c r="A146" s="15" t="s">
        <v>358</v>
      </c>
      <c r="B146" s="38" t="s">
        <v>359</v>
      </c>
      <c r="C146" s="37"/>
      <c r="D146" s="39">
        <v>629.76</v>
      </c>
      <c r="E146" s="40">
        <v>1685.76</v>
      </c>
      <c r="F146" s="16"/>
      <c r="G146" s="16">
        <f>IF(Dashboard!$D$60="100-yr",D146,E146)</f>
        <v>629.76</v>
      </c>
      <c r="L146"/>
    </row>
    <row r="147" spans="1:12" ht="42.6" customHeight="1" x14ac:dyDescent="0.3">
      <c r="A147" s="15" t="s">
        <v>360</v>
      </c>
      <c r="B147" s="38" t="s">
        <v>361</v>
      </c>
      <c r="C147" s="37"/>
      <c r="D147" s="39">
        <v>2</v>
      </c>
      <c r="E147" s="40">
        <v>2</v>
      </c>
      <c r="F147" s="16"/>
      <c r="G147" s="16">
        <f>IF(Dashboard!$D$60="100-yr",D147,E147)</f>
        <v>2</v>
      </c>
      <c r="L147"/>
    </row>
    <row r="148" spans="1:12" ht="36" customHeight="1" x14ac:dyDescent="0.3">
      <c r="A148" s="15" t="s">
        <v>362</v>
      </c>
      <c r="B148" s="38" t="s">
        <v>363</v>
      </c>
      <c r="C148" s="37"/>
      <c r="D148" s="39">
        <v>387.28</v>
      </c>
      <c r="E148" s="40">
        <v>638.07999999999993</v>
      </c>
      <c r="F148" s="16"/>
      <c r="G148" s="16">
        <f>IF(Dashboard!$D$60="100-yr",D148,E148)</f>
        <v>387.28</v>
      </c>
      <c r="L148"/>
    </row>
    <row r="149" spans="1:12" ht="42.6" customHeight="1" x14ac:dyDescent="0.3">
      <c r="A149" s="15" t="s">
        <v>364</v>
      </c>
      <c r="B149" s="38" t="s">
        <v>365</v>
      </c>
      <c r="C149" s="37"/>
      <c r="D149" s="17">
        <v>139.685</v>
      </c>
      <c r="E149" s="18">
        <v>387.505</v>
      </c>
      <c r="F149" s="16"/>
      <c r="G149" s="16">
        <f>IF(Dashboard!$D$60="100-yr",D149,E149)</f>
        <v>139.685</v>
      </c>
      <c r="L149"/>
    </row>
    <row r="150" spans="1:12" ht="42.6" x14ac:dyDescent="0.3">
      <c r="A150" s="15" t="s">
        <v>366</v>
      </c>
      <c r="B150" s="38" t="s">
        <v>367</v>
      </c>
      <c r="C150" s="37"/>
      <c r="D150" s="39">
        <v>1372.96</v>
      </c>
      <c r="E150" s="40">
        <v>3676.9599999999996</v>
      </c>
      <c r="F150" s="16"/>
      <c r="G150" s="16">
        <f>IF(Dashboard!$D$60="100-yr",D150,E150)</f>
        <v>1372.96</v>
      </c>
      <c r="L150"/>
    </row>
    <row r="151" spans="1:12" ht="23.1" customHeight="1" x14ac:dyDescent="0.3">
      <c r="A151" s="15" t="s">
        <v>368</v>
      </c>
      <c r="B151" s="46" t="s">
        <v>369</v>
      </c>
      <c r="C151" s="37"/>
      <c r="D151" s="39">
        <v>1650</v>
      </c>
      <c r="E151" s="17" t="s">
        <v>499</v>
      </c>
      <c r="F151" s="16"/>
      <c r="G151" s="16">
        <f>IF(Dashboard!$D$60="100-yr",D151,E151)</f>
        <v>1650</v>
      </c>
      <c r="L151"/>
    </row>
    <row r="152" spans="1:12" ht="23.1" customHeight="1" x14ac:dyDescent="0.3">
      <c r="A152" s="15" t="s">
        <v>370</v>
      </c>
      <c r="B152" s="46" t="s">
        <v>371</v>
      </c>
      <c r="C152" s="37"/>
      <c r="D152" s="39">
        <v>954</v>
      </c>
      <c r="E152" s="17" t="s">
        <v>499</v>
      </c>
      <c r="F152" s="16"/>
      <c r="G152" s="16">
        <f>IF(Dashboard!$D$60="100-yr",D152,E152)</f>
        <v>954</v>
      </c>
      <c r="L152"/>
    </row>
    <row r="153" spans="1:12" ht="27" customHeight="1" x14ac:dyDescent="0.3">
      <c r="A153" s="15" t="s">
        <v>372</v>
      </c>
      <c r="B153" s="36" t="s">
        <v>373</v>
      </c>
      <c r="C153" s="37"/>
      <c r="D153" s="39">
        <v>148</v>
      </c>
      <c r="E153" s="17" t="s">
        <v>499</v>
      </c>
      <c r="F153" s="16"/>
      <c r="G153" s="16">
        <f>IF(Dashboard!$D$60="100-yr",D153,E153)</f>
        <v>148</v>
      </c>
      <c r="L153"/>
    </row>
    <row r="154" spans="1:12" ht="31.5" customHeight="1" x14ac:dyDescent="0.3">
      <c r="A154" s="15" t="s">
        <v>374</v>
      </c>
      <c r="B154" s="46" t="s">
        <v>375</v>
      </c>
      <c r="C154" s="37">
        <v>0.02</v>
      </c>
      <c r="D154" s="39">
        <v>5.0000000000000001E-3</v>
      </c>
      <c r="E154" s="40">
        <v>5.0000000000000001E-3</v>
      </c>
      <c r="F154" s="16"/>
      <c r="G154" s="16">
        <f>IF(Dashboard!$D$60="100-yr",D154,E154)</f>
        <v>5.0000000000000001E-3</v>
      </c>
      <c r="L154"/>
    </row>
    <row r="155" spans="1:12" ht="52.5" customHeight="1" x14ac:dyDescent="0.25">
      <c r="A155" s="15" t="s">
        <v>441</v>
      </c>
      <c r="B155" s="46"/>
      <c r="C155" s="37"/>
      <c r="D155" s="39"/>
      <c r="E155" s="39"/>
      <c r="F155" s="36" t="s">
        <v>504</v>
      </c>
      <c r="G155" s="16"/>
    </row>
    <row r="156" spans="1:12" x14ac:dyDescent="0.25">
      <c r="A156" s="19" t="s">
        <v>376</v>
      </c>
      <c r="C156" s="45"/>
      <c r="D156" s="45"/>
      <c r="E156" s="45"/>
    </row>
    <row r="157" spans="1:12" x14ac:dyDescent="0.25">
      <c r="A157" s="19" t="s">
        <v>500</v>
      </c>
      <c r="C157" s="47"/>
      <c r="D157" s="47"/>
      <c r="E157" s="47"/>
    </row>
    <row r="158" spans="1:12" x14ac:dyDescent="0.25">
      <c r="A158" s="19" t="s">
        <v>377</v>
      </c>
      <c r="C158" s="47"/>
      <c r="D158" s="47"/>
      <c r="E158" s="47"/>
    </row>
    <row r="159" spans="1:12" x14ac:dyDescent="0.25">
      <c r="A159" s="19" t="s">
        <v>378</v>
      </c>
      <c r="C159" s="47"/>
      <c r="D159" s="47"/>
      <c r="E159" s="47"/>
    </row>
    <row r="160" spans="1:12"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1:5" x14ac:dyDescent="0.25">
      <c r="D177" s="47"/>
      <c r="E177" s="47"/>
    </row>
    <row r="178" spans="1:5" x14ac:dyDescent="0.25">
      <c r="D178" s="47"/>
      <c r="E178" s="47"/>
    </row>
    <row r="179" spans="1:5" x14ac:dyDescent="0.25">
      <c r="D179" s="47"/>
      <c r="E179" s="47"/>
    </row>
    <row r="180" spans="1:5" x14ac:dyDescent="0.25">
      <c r="D180" s="47"/>
      <c r="E180" s="47"/>
    </row>
    <row r="181" spans="1:5" x14ac:dyDescent="0.25">
      <c r="D181" s="47"/>
      <c r="E181" s="47"/>
    </row>
    <row r="185" spans="1:5" x14ac:dyDescent="0.25">
      <c r="A185" s="48"/>
    </row>
  </sheetData>
  <mergeCells count="1">
    <mergeCell ref="F2:F22"/>
  </mergeCells>
  <pageMargins left="0.75" right="0.75" top="0.75" bottom="0.75" header="0.5" footer="0.5"/>
  <pageSetup scale="24" fitToHeight="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E053-F2A2-4B80-8655-0C000CC26FED}">
  <dimension ref="B2:F25"/>
  <sheetViews>
    <sheetView topLeftCell="B1" workbookViewId="0">
      <selection activeCell="F24" sqref="F24"/>
    </sheetView>
  </sheetViews>
  <sheetFormatPr defaultRowHeight="14.4" x14ac:dyDescent="0.3"/>
  <cols>
    <col min="2" max="2" width="13.21875" bestFit="1" customWidth="1"/>
    <col min="3" max="3" width="9.77734375" bestFit="1" customWidth="1"/>
    <col min="4" max="4" width="18.77734375" bestFit="1" customWidth="1"/>
    <col min="5" max="5" width="8.77734375" bestFit="1" customWidth="1"/>
    <col min="6" max="6" width="242.5546875" bestFit="1" customWidth="1"/>
  </cols>
  <sheetData>
    <row r="2" spans="2:6" x14ac:dyDescent="0.3">
      <c r="B2" s="134" t="s">
        <v>511</v>
      </c>
      <c r="C2" s="134" t="s">
        <v>452</v>
      </c>
      <c r="D2" s="134" t="s">
        <v>453</v>
      </c>
      <c r="E2" s="134" t="s">
        <v>454</v>
      </c>
      <c r="F2" s="5"/>
    </row>
    <row r="3" spans="2:6" x14ac:dyDescent="0.3">
      <c r="B3" s="5" t="s">
        <v>510</v>
      </c>
      <c r="C3" s="135">
        <v>44698</v>
      </c>
      <c r="D3" s="5" t="s">
        <v>456</v>
      </c>
      <c r="E3" s="5" t="s">
        <v>455</v>
      </c>
      <c r="F3" s="5" t="s">
        <v>457</v>
      </c>
    </row>
    <row r="4" spans="2:6" x14ac:dyDescent="0.3">
      <c r="B4" s="5"/>
      <c r="C4" s="5"/>
      <c r="D4" s="5"/>
      <c r="E4" s="5"/>
      <c r="F4" s="5" t="s">
        <v>458</v>
      </c>
    </row>
    <row r="5" spans="2:6" x14ac:dyDescent="0.3">
      <c r="B5" s="5"/>
      <c r="C5" s="5"/>
      <c r="D5" s="5"/>
      <c r="E5" s="5" t="s">
        <v>459</v>
      </c>
      <c r="F5" s="5" t="s">
        <v>460</v>
      </c>
    </row>
    <row r="6" spans="2:6" x14ac:dyDescent="0.3">
      <c r="B6" s="5"/>
      <c r="C6" s="5"/>
      <c r="D6" s="5"/>
      <c r="E6" s="5" t="s">
        <v>461</v>
      </c>
      <c r="F6" s="5" t="s">
        <v>462</v>
      </c>
    </row>
    <row r="7" spans="2:6" x14ac:dyDescent="0.3">
      <c r="B7" s="5"/>
      <c r="C7" s="5"/>
      <c r="D7" s="5"/>
      <c r="E7" s="5"/>
      <c r="F7" s="5" t="s">
        <v>463</v>
      </c>
    </row>
    <row r="8" spans="2:6" x14ac:dyDescent="0.3">
      <c r="B8" s="5"/>
      <c r="C8" s="5"/>
      <c r="D8" s="5"/>
      <c r="E8" s="5" t="s">
        <v>464</v>
      </c>
      <c r="F8" s="5" t="s">
        <v>465</v>
      </c>
    </row>
    <row r="9" spans="2:6" x14ac:dyDescent="0.3">
      <c r="B9" s="5"/>
      <c r="C9" s="5"/>
      <c r="D9" s="5"/>
      <c r="E9" s="5" t="s">
        <v>466</v>
      </c>
      <c r="F9" s="5" t="s">
        <v>467</v>
      </c>
    </row>
    <row r="10" spans="2:6" x14ac:dyDescent="0.3">
      <c r="B10" s="5"/>
      <c r="C10" s="5"/>
      <c r="D10" s="5"/>
      <c r="E10" s="5" t="s">
        <v>468</v>
      </c>
      <c r="F10" s="5" t="s">
        <v>469</v>
      </c>
    </row>
    <row r="11" spans="2:6" x14ac:dyDescent="0.3">
      <c r="B11" s="5"/>
      <c r="C11" s="5"/>
      <c r="D11" s="5"/>
      <c r="E11" s="5" t="s">
        <v>470</v>
      </c>
      <c r="F11" s="5" t="s">
        <v>471</v>
      </c>
    </row>
    <row r="12" spans="2:6" x14ac:dyDescent="0.3">
      <c r="B12" s="5"/>
      <c r="C12" s="5"/>
      <c r="D12" s="5"/>
      <c r="E12" s="5"/>
      <c r="F12" s="5" t="s">
        <v>472</v>
      </c>
    </row>
    <row r="13" spans="2:6" x14ac:dyDescent="0.3">
      <c r="B13" s="5"/>
      <c r="C13" s="5"/>
      <c r="D13" s="5"/>
      <c r="E13" s="5" t="s">
        <v>473</v>
      </c>
      <c r="F13" s="5" t="s">
        <v>474</v>
      </c>
    </row>
    <row r="14" spans="2:6" x14ac:dyDescent="0.3">
      <c r="B14" s="5"/>
      <c r="C14" s="5"/>
      <c r="D14" s="5" t="s">
        <v>475</v>
      </c>
      <c r="E14" s="5" t="s">
        <v>476</v>
      </c>
      <c r="F14" s="5" t="s">
        <v>477</v>
      </c>
    </row>
    <row r="15" spans="2:6" x14ac:dyDescent="0.3">
      <c r="B15" s="5"/>
      <c r="C15" s="5"/>
      <c r="D15" s="5" t="s">
        <v>478</v>
      </c>
      <c r="E15" s="5" t="s">
        <v>479</v>
      </c>
      <c r="F15" s="5" t="s">
        <v>480</v>
      </c>
    </row>
    <row r="16" spans="2:6" x14ac:dyDescent="0.3">
      <c r="B16" s="5"/>
      <c r="C16" s="5"/>
      <c r="D16" s="5" t="s">
        <v>388</v>
      </c>
      <c r="E16" s="5" t="s">
        <v>481</v>
      </c>
      <c r="F16" s="5" t="s">
        <v>482</v>
      </c>
    </row>
    <row r="17" spans="2:6" x14ac:dyDescent="0.3">
      <c r="B17" s="5"/>
      <c r="C17" s="5"/>
      <c r="D17" s="5" t="s">
        <v>456</v>
      </c>
      <c r="E17" s="5" t="s">
        <v>476</v>
      </c>
      <c r="F17" s="5" t="s">
        <v>492</v>
      </c>
    </row>
    <row r="18" spans="2:6" x14ac:dyDescent="0.3">
      <c r="B18" s="5"/>
      <c r="C18" s="135">
        <v>44714</v>
      </c>
      <c r="D18" s="5" t="s">
        <v>475</v>
      </c>
      <c r="E18" s="5" t="s">
        <v>495</v>
      </c>
      <c r="F18" s="5" t="s">
        <v>496</v>
      </c>
    </row>
    <row r="19" spans="2:6" x14ac:dyDescent="0.3">
      <c r="B19" s="5"/>
      <c r="C19" s="5"/>
      <c r="D19" s="5" t="s">
        <v>475</v>
      </c>
      <c r="E19" s="5" t="s">
        <v>497</v>
      </c>
      <c r="F19" s="5" t="s">
        <v>498</v>
      </c>
    </row>
    <row r="20" spans="2:6" x14ac:dyDescent="0.3">
      <c r="B20" s="5"/>
      <c r="C20" s="5"/>
      <c r="D20" s="5" t="s">
        <v>501</v>
      </c>
      <c r="E20" s="5" t="s">
        <v>502</v>
      </c>
      <c r="F20" s="5" t="s">
        <v>503</v>
      </c>
    </row>
    <row r="21" spans="2:6" x14ac:dyDescent="0.3">
      <c r="B21" s="5"/>
      <c r="C21" s="5"/>
      <c r="D21" s="5" t="s">
        <v>501</v>
      </c>
      <c r="E21" s="5"/>
      <c r="F21" s="5" t="s">
        <v>505</v>
      </c>
    </row>
    <row r="22" spans="2:6" x14ac:dyDescent="0.3">
      <c r="B22" s="5" t="s">
        <v>509</v>
      </c>
      <c r="C22" s="135">
        <v>44760</v>
      </c>
      <c r="D22" s="5" t="s">
        <v>456</v>
      </c>
      <c r="E22" s="5" t="s">
        <v>512</v>
      </c>
      <c r="F22" s="5" t="s">
        <v>513</v>
      </c>
    </row>
    <row r="23" spans="2:6" x14ac:dyDescent="0.3">
      <c r="B23" s="5"/>
      <c r="C23" s="5"/>
      <c r="D23" s="5" t="s">
        <v>515</v>
      </c>
      <c r="E23" s="5" t="s">
        <v>497</v>
      </c>
      <c r="F23" s="5" t="s">
        <v>516</v>
      </c>
    </row>
    <row r="24" spans="2:6" x14ac:dyDescent="0.3">
      <c r="B24" s="5" t="s">
        <v>517</v>
      </c>
      <c r="C24" s="135">
        <v>44812</v>
      </c>
      <c r="D24" s="5" t="s">
        <v>475</v>
      </c>
      <c r="E24" s="5" t="s">
        <v>525</v>
      </c>
      <c r="F24" s="5" t="s">
        <v>526</v>
      </c>
    </row>
    <row r="25" spans="2:6" x14ac:dyDescent="0.3">
      <c r="B25" s="5"/>
      <c r="C25" s="5"/>
      <c r="D25" s="5" t="s">
        <v>456</v>
      </c>
      <c r="E25" s="5" t="s">
        <v>527</v>
      </c>
      <c r="F25" s="5" t="s">
        <v>522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5B365957C7CB40992C2FD98AC36155" ma:contentTypeVersion="12" ma:contentTypeDescription="Create a new document." ma:contentTypeScope="" ma:versionID="b2816d0ef92202c65df612e814dd258a">
  <xsd:schema xmlns:xsd="http://www.w3.org/2001/XMLSchema" xmlns:xs="http://www.w3.org/2001/XMLSchema" xmlns:p="http://schemas.microsoft.com/office/2006/metadata/properties" xmlns:ns2="b48abb86-6b75-4cc9-8ac7-293f3cb026c9" xmlns:ns3="b2b8bedc-0fcb-47cf-97d0-3e95d67c491f" targetNamespace="http://schemas.microsoft.com/office/2006/metadata/properties" ma:root="true" ma:fieldsID="c75008b61cef3e70b590bf96d7308de9" ns2:_="" ns3:_="">
    <xsd:import namespace="b48abb86-6b75-4cc9-8ac7-293f3cb026c9"/>
    <xsd:import namespace="b2b8bedc-0fcb-47cf-97d0-3e95d67c49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Workingon"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abb86-6b75-4cc9-8ac7-293f3cb026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Workingon" ma:index="18" nillable="true" ma:displayName="Working on" ma:description="Who is working on the document" ma:format="Dropdown" ma:list="UserInfo" ma:SharePointGroup="0" ma:internalName="Workingo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est" ma:index="19" nillable="true" ma:displayName="test" ma:format="Dropdown" ma:internalName="tes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b8bedc-0fcb-47cf-97d0-3e95d67c49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2b8bedc-0fcb-47cf-97d0-3e95d67c491f">
      <UserInfo>
        <DisplayName/>
        <AccountId xsi:nil="true"/>
        <AccountType/>
      </UserInfo>
    </SharedWithUsers>
    <test xmlns="b48abb86-6b75-4cc9-8ac7-293f3cb026c9" xsi:nil="true"/>
    <Workingon xmlns="b48abb86-6b75-4cc9-8ac7-293f3cb026c9">
      <UserInfo>
        <DisplayName/>
        <AccountId xsi:nil="true"/>
        <AccountType/>
      </UserInfo>
    </Workingon>
  </documentManagement>
</p:properties>
</file>

<file path=customXml/itemProps1.xml><?xml version="1.0" encoding="utf-8"?>
<ds:datastoreItem xmlns:ds="http://schemas.openxmlformats.org/officeDocument/2006/customXml" ds:itemID="{74B53656-8AE5-489F-85B5-D742E090A7AB}">
  <ds:schemaRefs>
    <ds:schemaRef ds:uri="http://schemas.microsoft.com/sharepoint/v3/contenttype/forms"/>
  </ds:schemaRefs>
</ds:datastoreItem>
</file>

<file path=customXml/itemProps2.xml><?xml version="1.0" encoding="utf-8"?>
<ds:datastoreItem xmlns:ds="http://schemas.openxmlformats.org/officeDocument/2006/customXml" ds:itemID="{83179152-8F0C-4E2F-86D9-1FBF6B0D7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abb86-6b75-4cc9-8ac7-293f3cb026c9"/>
    <ds:schemaRef ds:uri="b2b8bedc-0fcb-47cf-97d0-3e95d67c4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D806A4-61D9-4E70-89CD-65DE816242A7}">
  <ds:schemaRefs>
    <ds:schemaRef ds:uri="http://purl.org/dc/dcmitype/"/>
    <ds:schemaRef ds:uri="http://schemas.microsoft.com/office/2006/documentManagement/types"/>
    <ds:schemaRef ds:uri="b2b8bedc-0fcb-47cf-97d0-3e95d67c491f"/>
    <ds:schemaRef ds:uri="b48abb86-6b75-4cc9-8ac7-293f3cb026c9"/>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Dashboard</vt:lpstr>
      <vt:lpstr>ACC Inputs</vt:lpstr>
      <vt:lpstr>Refrigerant Leakage</vt:lpstr>
      <vt:lpstr>Refrigerant GWPs</vt:lpstr>
      <vt:lpstr>Change Log</vt:lpstr>
      <vt:lpstr>'Refrigerant GWPs'!Print_Area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Cutter</dc:creator>
  <cp:keywords/>
  <dc:description/>
  <cp:lastModifiedBy>Sumin Wang</cp:lastModifiedBy>
  <cp:revision/>
  <dcterms:created xsi:type="dcterms:W3CDTF">2020-04-23T22:41:59Z</dcterms:created>
  <dcterms:modified xsi:type="dcterms:W3CDTF">2022-09-14T22:04:48Z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0x010100685B365957C7CB40992C2FD98AC36155</vt:lpwstr>
  </property>
  <property fmtid="{D5CDD505-2E9C-101B-9397-08002B2CF9AE}" pid="3" name="{A44787D4-0540-4523-9961-78E4036D8C6D}">
    <vt:lpwstr>{29011BCD-9810-4FE4-BF91-FFD64CECF023}</vt:lpwstr>
  </property>
  <property fmtid="{D5CDD505-2E9C-101B-9397-08002B2CF9AE}" pid="4" name="Order">
    <vt:r8>76500</vt:r8>
  </property>
  <property fmtid="{D5CDD505-2E9C-101B-9397-08002B2CF9AE}" pid="5" name="ComplianceAssetId">
    <vt:lpwstr/>
  </property>
</Properties>
</file>