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api.box.com/wopi/files/983824868188/WOPIServiceId_TP_BOX_2/WOPIUserId_11255340236/"/>
    </mc:Choice>
  </mc:AlternateContent>
  <xr:revisionPtr revIDLastSave="102" documentId="13_ncr:1_{B039C9CF-D2B5-426F-A93C-814913B85CD5}" xr6:coauthVersionLast="47" xr6:coauthVersionMax="47" xr10:uidLastSave="{CD1831FA-3DA3-4CE1-A789-DB7501AAB4E7}"/>
  <bookViews>
    <workbookView xWindow="16440" yWindow="-16416" windowWidth="29016" windowHeight="15816" xr2:uid="{49F81A18-BEDA-43D2-B12A-456562264883}"/>
  </bookViews>
  <sheets>
    <sheet name="Cover" sheetId="8" r:id="rId1"/>
    <sheet name="RECC" sheetId="10" r:id="rId2"/>
    <sheet name="IRP Inputs" sheetId="2" r:id="rId3"/>
    <sheet name="Battery Costs" sheetId="3" r:id="rId4"/>
    <sheet name="Pro Forma" sheetId="4" r:id="rId5"/>
    <sheet name="References" sheetId="6" r:id="rId6"/>
    <sheet name="Change Log" sheetId="7" r:id="rId7"/>
  </sheets>
  <externalReferences>
    <externalReference r:id="rId8"/>
    <externalReference r:id="rId9"/>
  </externalReferences>
  <definedNames>
    <definedName name="__123Graph_A" localSheetId="0" hidden="1">[1]Sheet1!#REF!</definedName>
    <definedName name="__123Graph_A" hidden="1">[1]Sheet1!#REF!</definedName>
    <definedName name="__123Graph_ADA" localSheetId="0" hidden="1">[1]Sheet1!#REF!</definedName>
    <definedName name="__123Graph_ADA" hidden="1">[1]Sheet1!#REF!</definedName>
    <definedName name="__123Graph_ADEPREC2" localSheetId="0" hidden="1">[1]Sheet1!#REF!</definedName>
    <definedName name="__123Graph_ADEPREC2" hidden="1">[1]Sheet1!#REF!</definedName>
    <definedName name="__123Graph_ATREND" localSheetId="0" hidden="1">[1]Sheet1!#REF!</definedName>
    <definedName name="__123Graph_ATREND" hidden="1">[1]Sheet1!#REF!</definedName>
    <definedName name="__123Graph_B" localSheetId="0" hidden="1">[1]Sheet1!#REF!</definedName>
    <definedName name="__123Graph_B" hidden="1">[1]Sheet1!#REF!</definedName>
    <definedName name="__123Graph_BTREND" hidden="1">[1]Sheet1!#REF!</definedName>
    <definedName name="__123Graph_C" hidden="1">[1]Sheet1!#REF!</definedName>
    <definedName name="__123Graph_CTREND" hidden="1">[1]Sheet1!#REF!</definedName>
    <definedName name="__123Graph_X" hidden="1">[1]Sheet1!#REF!</definedName>
    <definedName name="__123Graph_XTREND" hidden="1">[1]Sheet1!#REF!</definedName>
    <definedName name="__FDS_HYPERLINK_TOGGLE_STATE__" hidden="1">"ON"</definedName>
    <definedName name="_1__123Graph_A_FABP_L.WK1_FAB" hidden="1">[1]Sheet1!#REF!</definedName>
    <definedName name="_2__123Graph_ADEPREC" hidden="1">[1]Sheet1!#REF!</definedName>
    <definedName name="_3__123Graph_B_FABP_L.WK1_FAB" hidden="1">[1]Sheet1!#REF!</definedName>
    <definedName name="_4__123Graph_C_FABP_L.WK1_FAB" hidden="1">[1]Sheet1!#REF!</definedName>
    <definedName name="_5__123Graph_X_FABP_L.WK1_FAB" hidden="1">[1]Sheet1!#REF!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nscount" hidden="1">3</definedName>
    <definedName name="asd" hidden="1">[1]Sheet1!#REF!</definedName>
    <definedName name="asdf" hidden="1">[1]Sheet1!#REF!</definedName>
    <definedName name="BLPB1" hidden="1">'[2]One-Pager'!$A$5</definedName>
    <definedName name="BLPB2" hidden="1">'[2]One-Pager'!$B$5</definedName>
    <definedName name="BLPB3" hidden="1">'[2]One-Pager'!$A$6</definedName>
    <definedName name="BLPB4" hidden="1">'[2]One-Pager'!$A$2</definedName>
    <definedName name="BLPB5" hidden="1">'[2]One-Pager'!$Q$3</definedName>
    <definedName name="BLPB6" hidden="1">'[2]One-Pager'!$I$2</definedName>
    <definedName name="BLPB7" hidden="1">'[2]One-Pager'!$G$2</definedName>
    <definedName name="BLPB8" hidden="1">'[2]One-Pager'!$F$6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dollar_year">'IRP Inputs'!$C$12</definedName>
    <definedName name="duration">'IRP Inputs'!$C$8</definedName>
    <definedName name="EarningsModel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2_1_aDrv" hidden="1">#REF!</definedName>
    <definedName name="FDP_163_1_aD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6_1aUdv1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Drv" hidden="1">#REF!</definedName>
    <definedName name="FDP_3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6_1_aUrv" hidden="1">#REF!</definedName>
    <definedName name="FDP_67_1_a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HTML_CodePage" hidden="1">1252</definedName>
    <definedName name="HTML_Control" localSheetId="0" hidden="1">{"'Summary'!$A$1:$J$24"}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inflation_rate">'IRP Inputs'!$C$9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39146.6970023148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ifetime">'IRP Inputs'!$C$13</definedName>
    <definedName name="limcount" hidden="1">3</definedName>
    <definedName name="nominal_discount_rate">'IRP Inputs'!$C$11</definedName>
    <definedName name="real_discount_rate">'IRP Inputs'!$C$10</definedName>
    <definedName name="sencount" hidden="1">1</definedName>
    <definedName name="solargraph" hidden="1">[1]Sheet1!#REF!</definedName>
    <definedName name="solver_adj" localSheetId="0" hidden="1">#REF!</definedName>
    <definedName name="solver_adj" localSheetId="4" hidden="1">'Pro Forma'!#REF!</definedName>
    <definedName name="solver_adj" hidden="1">#REF!</definedName>
    <definedName name="solver_cvg" localSheetId="4" hidden="1">0.0001</definedName>
    <definedName name="solver_cvg" hidden="1">0.001</definedName>
    <definedName name="solver_drv" localSheetId="4" hidden="1">1</definedName>
    <definedName name="solver_drv" hidden="1">1</definedName>
    <definedName name="solver_eng" localSheetId="4" hidden="1">1</definedName>
    <definedName name="solver_est" localSheetId="4" hidden="1">1</definedName>
    <definedName name="solver_est" hidden="1">1</definedName>
    <definedName name="solver_itr" localSheetId="4" hidden="1">2147483647</definedName>
    <definedName name="solver_itr" hidden="1">100</definedName>
    <definedName name="solver_lhs1" localSheetId="4" hidden="1">'Pro Forma'!#REF!</definedName>
    <definedName name="solver_lin" hidden="1">0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eg" hidden="1">2</definedName>
    <definedName name="solver_nod" localSheetId="4" hidden="1">2147483647</definedName>
    <definedName name="solver_num" localSheetId="4" hidden="1">1</definedName>
    <definedName name="solver_num" hidden="1">0</definedName>
    <definedName name="solver_nwt" localSheetId="4" hidden="1">1</definedName>
    <definedName name="solver_nwt" hidden="1">1</definedName>
    <definedName name="solver_opt" localSheetId="0" hidden="1">#REF!</definedName>
    <definedName name="solver_opt" localSheetId="4" hidden="1">'Pro Forma'!$M$18</definedName>
    <definedName name="solver_opt" hidden="1">#REF!</definedName>
    <definedName name="solver_pre" localSheetId="4" hidden="1">0.000001</definedName>
    <definedName name="solver_pre" hidden="1">0.000001</definedName>
    <definedName name="solver_rbv" localSheetId="4" hidden="1">1</definedName>
    <definedName name="solver_rel1" localSheetId="4" hidden="1">3</definedName>
    <definedName name="solver_rhs1" localSheetId="4" hidden="1">0.2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cl" hidden="1">2</definedName>
    <definedName name="solver_sho" localSheetId="4" hidden="1">2</definedName>
    <definedName name="solver_sho" hidden="1">2</definedName>
    <definedName name="solver_ssz" localSheetId="4" hidden="1">100</definedName>
    <definedName name="solver_tim" localSheetId="4" hidden="1">2147483647</definedName>
    <definedName name="solver_tim" hidden="1">100</definedName>
    <definedName name="solver_tol" localSheetId="4" hidden="1">0.01</definedName>
    <definedName name="solver_tol" hidden="1">0.05</definedName>
    <definedName name="solver_typ" localSheetId="4" hidden="1">2</definedName>
    <definedName name="solver_typ" hidden="1">3</definedName>
    <definedName name="solver_val" localSheetId="4" hidden="1">0</definedName>
    <definedName name="solver_val" hidden="1">0</definedName>
    <definedName name="solver_ver" localSheetId="4" hidden="1">3</definedName>
    <definedName name="wrn.ALL." localSheetId="0" hidden="1">{#N/A,#N/A,FALSE,"ASSUMPTIONS";#N/A,#N/A,FALSE,"Valuation Summary";"page1",#N/A,FALSE,"PRESENTATION";"page2",#N/A,FALSE,"PRESENTATION";#N/A,#N/A,FALSE,"ORIGINAL_ROLLBACK"}</definedName>
    <definedName name="wrn.ALL." hidden="1">{#N/A,#N/A,FALSE,"ASSUMPTIONS";#N/A,#N/A,FALSE,"Valuation Summary";"page1",#N/A,FALSE,"PRESENTATION";"page2",#N/A,FALSE,"PRESENTATION";#N/A,#N/A,FALSE,"ORIGINAL_ROLLBACK"}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llReport." localSheetId="0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.FullReport.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PRES_OUT." localSheetId="0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entation._.Version._.but._.No._.WC._.Slide." localSheetId="0" hidden="1">{"Presentation View",#N/A,TRUE,"Cover";"Presentation View",#N/A,TRUE,"Hilight_YTD";"Presentation View",#N/A,TRUE,"BridgeP";"Presentation View",#N/A,TRUE,"Bridge00";"Presentation View",#N/A,TRUE,"cnsoled_IS";"Presentation View",#N/A,TRUE,"cnsol_incYTD v plan";"Presentation View",#N/A,TRUE,"cnsol_incYTD v PY";"Presentation View",#N/A,TRUE,"Fcst1 qtrly";"Presentation View",#N/A,TRUE,"Fcst1 Qtrly Earnings";"Presentation View",#N/A,TRUE,"AR";"Presentation View",#N/A,TRUE,"INV";"Presentation View",#N/A,TRUE,"Inc Trend";"Presentation View",#N/A,TRUE,"cnsol_inc v p";"Presentation View",#N/A,TRUE,"cnsol_inc v PY";"Presentation View",#N/A,TRUE,"F1 BS";"Presentation View2",#N/A,TRUE,"cash flow";"Presentation View",#N/A,TRUE,"TITLE PF";"Presentation View",#N/A,TRUE,"cnsol_incYTDpf v PYpf";"Presentation View",#N/A,TRUE,"cnsol_inc v PYpf";"Presentation View",#N/A,TRUE,"CapExPF";"Presentation View",#N/A,TRUE,"Major Projects";"Presentation View",#N/A,TRUE,"MAR"}</definedName>
    <definedName name="wrn.Presentation._.Version._.but._.No._.WC._.Slide." hidden="1">{"Presentation View",#N/A,TRUE,"Cover";"Presentation View",#N/A,TRUE,"Hilight_YTD";"Presentation View",#N/A,TRUE,"BridgeP";"Presentation View",#N/A,TRUE,"Bridge00";"Presentation View",#N/A,TRUE,"cnsoled_IS";"Presentation View",#N/A,TRUE,"cnsol_incYTD v plan";"Presentation View",#N/A,TRUE,"cnsol_incYTD v PY";"Presentation View",#N/A,TRUE,"Fcst1 qtrly";"Presentation View",#N/A,TRUE,"Fcst1 Qtrly Earnings";"Presentation View",#N/A,TRUE,"AR";"Presentation View",#N/A,TRUE,"INV";"Presentation View",#N/A,TRUE,"Inc Trend";"Presentation View",#N/A,TRUE,"cnsol_inc v p";"Presentation View",#N/A,TRUE,"cnsol_inc v PY";"Presentation View",#N/A,TRUE,"F1 BS";"Presentation View2",#N/A,TRUE,"cash flow";"Presentation View",#N/A,TRUE,"TITLE PF";"Presentation View",#N/A,TRUE,"cnsol_incYTDpf v PYpf";"Presentation View",#N/A,TRUE,"cnsol_inc v PYpf";"Presentation View",#N/A,TRUE,"CapExPF";"Presentation View",#N/A,TRUE,"Major Projects";"Presentation View",#N/A,TRUE,"MAR"}</definedName>
    <definedName name="wrn.Print._.1_8." localSheetId="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_CURRENT._.PAGE." localSheetId="0" hidden="1">{"CURRENT",#N/A,FALSE,"REGISTER"}</definedName>
    <definedName name="wrn.PRINT_CURRENT._.PAGE." hidden="1">{"CURRENT",#N/A,FALSE,"REGISTER"}</definedName>
    <definedName name="wrn.PRINT_HISTORY." localSheetId="0" hidden="1">{"HISTORY",#N/A,FALSE,"REGISTER"}</definedName>
    <definedName name="wrn.PRINT_HISTORY." hidden="1">{"HISTORY",#N/A,FALSE,"REGISTER"}</definedName>
    <definedName name="wrn.printall." localSheetId="0" hidden="1">{"page1",#N/A,FALSE,"DCM";"page2",#N/A,FALSE,"DCM";"page3",#N/A,FALSE,"DCM";"page4",#N/A,FALSE,"DCM";"page5",#N/A,FALSE,"DCM";"page6",#N/A,FALSE,"DCM";"page7",#N/A,FALSE,"DCM";"page8",#N/A,FALSE,"DCM"}</definedName>
    <definedName name="wrn.printall." hidden="1">{"page1",#N/A,FALSE,"DCM";"page2",#N/A,FALSE,"DCM";"page3",#N/A,FALSE,"DCM";"page4",#N/A,FALSE,"DCM";"page5",#N/A,FALSE,"DCM";"page6",#N/A,FALSE,"DCM";"page7",#N/A,FALSE,"DCM";"page8",#N/A,FALSE,"DCM"}</definedName>
    <definedName name="wrn.sum1." localSheetId="0" hidden="1">{"Summary","1",FALSE,"Summary"}</definedName>
    <definedName name="wrn.sum1." hidden="1">{"Summary","1",FALSE,"Summary"}</definedName>
    <definedName name="wrn.Summary." localSheetId="0" hidden="1">{"page1",#N/A,FALSE,"DCM";"page3",#N/A,FALSE,"DCM"}</definedName>
    <definedName name="wrn.Summary." hidden="1">{"page1",#N/A,FALSE,"DCM";"page3",#N/A,FALSE,"DCM"}</definedName>
    <definedName name="wrn.Working._.Version." localSheetId="0" hidden="1">{"Working View with Notes2",#N/A,TRUE,"Hilight_YTD";"Working View with Notes2",#N/A,TRUE,"BridgeP";"Working View with Notes2",#N/A,TRUE,"Bridge00";"Working View with Notes2",#N/A,TRUE,"cnsoled_IS";"Working View with Notes2",#N/A,TRUE,"cnsol_incYTD v plan";"Working View with Notes2",#N/A,TRUE,"cnsol_incYTD v PY";"Working View with Notes2",#N/A,TRUE,"Fcst1 qtrly";"Working View with Notes2",#N/A,TRUE,"Fcst1 Qtrly Earnings";"Working View with Notes2",#N/A,TRUE,"AR";"Working View with Notes2",#N/A,TRUE,"INV";"Working View with Notes2",#N/A,TRUE,"Inc Trend";"Working View with Notes2",#N/A,TRUE,"cnsol_inc v p";"Working View with Notes2",#N/A,TRUE,"cnsol_inc v PY";"Working View with Notes2",#N/A,TRUE,"F1 BS";"Working View with Notes2",#N/A,TRUE,"cash flow";"Working View with Notes2",#N/A,TRUE,"TITLE PF";"Working View with Notes2",#N/A,TRUE,"cnsol_incYTDpf v PYpf";"Working View with Notes2",#N/A,TRUE,"cnsol_inc v PYpf";"Working View with Notes2",#N/A,TRUE,"CapExPF";"Working View with Notes2",#N/A,TRUE,"Major Projects";"Working View with Notes2",#N/A,TRUE,"MAR"}</definedName>
    <definedName name="wrn.Working._.Version." hidden="1">{"Working View with Notes2",#N/A,TRUE,"Hilight_YTD";"Working View with Notes2",#N/A,TRUE,"BridgeP";"Working View with Notes2",#N/A,TRUE,"Bridge00";"Working View with Notes2",#N/A,TRUE,"cnsoled_IS";"Working View with Notes2",#N/A,TRUE,"cnsol_incYTD v plan";"Working View with Notes2",#N/A,TRUE,"cnsol_incYTD v PY";"Working View with Notes2",#N/A,TRUE,"Fcst1 qtrly";"Working View with Notes2",#N/A,TRUE,"Fcst1 Qtrly Earnings";"Working View with Notes2",#N/A,TRUE,"AR";"Working View with Notes2",#N/A,TRUE,"INV";"Working View with Notes2",#N/A,TRUE,"Inc Trend";"Working View with Notes2",#N/A,TRUE,"cnsol_inc v p";"Working View with Notes2",#N/A,TRUE,"cnsol_inc v PY";"Working View with Notes2",#N/A,TRUE,"F1 BS";"Working View with Notes2",#N/A,TRUE,"cash flow";"Working View with Notes2",#N/A,TRUE,"TITLE PF";"Working View with Notes2",#N/A,TRUE,"cnsol_incYTDpf v PYpf";"Working View with Notes2",#N/A,TRUE,"cnsol_inc v PYpf";"Working View with Notes2",#N/A,TRUE,"CapExPF";"Working View with Notes2",#N/A,TRUE,"Major Projects";"Working View with Notes2",#N/A,TRUE,"MAR"}</definedName>
    <definedName name="wrn.workpapers." localSheetId="0" hidden="1">{#N/A,#N/A,FALSE,"Inputs And Assumptions";#N/A,#N/A,FALSE,"Revenue Allocation";#N/A,#N/A,FALSE,"RSP Surch Allocations";#N/A,#N/A,FALSE,"Generation Calculations";#N/A,#N/A,FALSE,"Test Year 2001 Sales and Revs."}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1.fullreport" localSheetId="0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1.fullreport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1.printall" localSheetId="0" hidden="1">{"page1",#N/A,FALSE,"DCM";"page2",#N/A,FALSE,"DCM";"page3",#N/A,FALSE,"DCM";"page4",#N/A,FALSE,"DCM";"page5",#N/A,FALSE,"DCM";"page6",#N/A,FALSE,"DCM";"page7",#N/A,FALSE,"DCM";"page8",#N/A,FALSE,"DCM"}</definedName>
    <definedName name="wrn1.printall" hidden="1">{"page1",#N/A,FALSE,"DCM";"page2",#N/A,FALSE,"DCM";"page3",#N/A,FALSE,"DCM";"page4",#N/A,FALSE,"DCM";"page5",#N/A,FALSE,"DCM";"page6",#N/A,FALSE,"DCM";"page7",#N/A,FALSE,"DCM";"page8",#N/A,FALSE,"DCM"}</definedName>
    <definedName name="yearID">'Battery Costs'!$B$12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6" i="10" l="1"/>
  <c r="AJ57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U56" i="10"/>
  <c r="AV56" i="10"/>
  <c r="AW56" i="10"/>
  <c r="AX56" i="10"/>
  <c r="AY56" i="10"/>
  <c r="AZ56" i="10"/>
  <c r="BA56" i="10"/>
  <c r="BB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D7" i="10" l="1" a="1"/>
  <c r="D7" i="10" s="1"/>
  <c r="C6" i="10" l="1"/>
  <c r="D96" i="10" l="1" a="1"/>
  <c r="D96" i="10" s="1"/>
  <c r="AH6" i="10" l="1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AG125" i="10" a="1"/>
  <c r="AG125" i="10" s="1"/>
  <c r="AF125" i="10" a="1"/>
  <c r="AF125" i="10" s="1"/>
  <c r="AE125" i="10" a="1"/>
  <c r="AE125" i="10" s="1"/>
  <c r="AD125" i="10" a="1"/>
  <c r="AD125" i="10" s="1"/>
  <c r="AC125" i="10" a="1"/>
  <c r="AC125" i="10" s="1"/>
  <c r="AB125" i="10" a="1"/>
  <c r="AB125" i="10" s="1"/>
  <c r="AA125" i="10" a="1"/>
  <c r="AA125" i="10" s="1"/>
  <c r="Z125" i="10" a="1"/>
  <c r="Z125" i="10" s="1"/>
  <c r="Y125" i="10" a="1"/>
  <c r="Y125" i="10" s="1"/>
  <c r="X125" i="10" a="1"/>
  <c r="X125" i="10" s="1"/>
  <c r="W125" i="10" a="1"/>
  <c r="W125" i="10" s="1"/>
  <c r="V125" i="10" a="1"/>
  <c r="V125" i="10" s="1"/>
  <c r="U125" i="10" a="1"/>
  <c r="U125" i="10" s="1"/>
  <c r="T125" i="10" a="1"/>
  <c r="T125" i="10" s="1"/>
  <c r="S125" i="10" a="1"/>
  <c r="S125" i="10" s="1"/>
  <c r="R125" i="10" a="1"/>
  <c r="R125" i="10" s="1"/>
  <c r="Q125" i="10" a="1"/>
  <c r="Q125" i="10" s="1"/>
  <c r="P125" i="10" a="1"/>
  <c r="P125" i="10" s="1"/>
  <c r="O125" i="10" a="1"/>
  <c r="O125" i="10" s="1"/>
  <c r="N125" i="10" a="1"/>
  <c r="N125" i="10" s="1"/>
  <c r="M125" i="10" a="1"/>
  <c r="M125" i="10" s="1"/>
  <c r="L125" i="10" a="1"/>
  <c r="L125" i="10" s="1"/>
  <c r="K125" i="10" a="1"/>
  <c r="K125" i="10" s="1"/>
  <c r="J125" i="10" a="1"/>
  <c r="J125" i="10" s="1"/>
  <c r="I125" i="10" a="1"/>
  <c r="I125" i="10" s="1"/>
  <c r="H125" i="10" a="1"/>
  <c r="H125" i="10" s="1"/>
  <c r="G125" i="10" a="1"/>
  <c r="G125" i="10" s="1"/>
  <c r="F125" i="10" a="1"/>
  <c r="F125" i="10" s="1"/>
  <c r="E125" i="10" a="1"/>
  <c r="E125" i="10" s="1"/>
  <c r="D125" i="10" a="1"/>
  <c r="D125" i="10" s="1"/>
  <c r="C125" i="10" a="1"/>
  <c r="C125" i="10" s="1"/>
  <c r="AH124" i="10" a="1"/>
  <c r="AH124" i="10" s="1"/>
  <c r="AF124" i="10" a="1"/>
  <c r="AF124" i="10" s="1"/>
  <c r="AE124" i="10" a="1"/>
  <c r="AE124" i="10" s="1"/>
  <c r="AD124" i="10" a="1"/>
  <c r="AD124" i="10" s="1"/>
  <c r="AC124" i="10" a="1"/>
  <c r="AC124" i="10" s="1"/>
  <c r="AB124" i="10" a="1"/>
  <c r="AB124" i="10" s="1"/>
  <c r="AA124" i="10" a="1"/>
  <c r="AA124" i="10" s="1"/>
  <c r="Z124" i="10" a="1"/>
  <c r="Z124" i="10" s="1"/>
  <c r="Y124" i="10" a="1"/>
  <c r="Y124" i="10" s="1"/>
  <c r="X124" i="10" a="1"/>
  <c r="X124" i="10" s="1"/>
  <c r="W124" i="10" a="1"/>
  <c r="W124" i="10" s="1"/>
  <c r="V124" i="10" a="1"/>
  <c r="V124" i="10" s="1"/>
  <c r="U124" i="10" a="1"/>
  <c r="U124" i="10" s="1"/>
  <c r="T124" i="10" a="1"/>
  <c r="T124" i="10" s="1"/>
  <c r="S124" i="10" a="1"/>
  <c r="S124" i="10" s="1"/>
  <c r="R124" i="10" a="1"/>
  <c r="R124" i="10" s="1"/>
  <c r="Q124" i="10" a="1"/>
  <c r="Q124" i="10" s="1"/>
  <c r="P124" i="10" a="1"/>
  <c r="P124" i="10" s="1"/>
  <c r="O124" i="10" a="1"/>
  <c r="O124" i="10" s="1"/>
  <c r="N124" i="10" a="1"/>
  <c r="N124" i="10" s="1"/>
  <c r="M124" i="10" a="1"/>
  <c r="M124" i="10" s="1"/>
  <c r="L124" i="10" a="1"/>
  <c r="L124" i="10" s="1"/>
  <c r="K124" i="10" a="1"/>
  <c r="K124" i="10" s="1"/>
  <c r="J124" i="10" a="1"/>
  <c r="J124" i="10" s="1"/>
  <c r="I124" i="10" a="1"/>
  <c r="I124" i="10" s="1"/>
  <c r="H124" i="10" a="1"/>
  <c r="H124" i="10" s="1"/>
  <c r="G124" i="10" a="1"/>
  <c r="G124" i="10" s="1"/>
  <c r="F124" i="10" a="1"/>
  <c r="F124" i="10" s="1"/>
  <c r="E124" i="10" a="1"/>
  <c r="E124" i="10" s="1"/>
  <c r="D124" i="10" a="1"/>
  <c r="D124" i="10" s="1"/>
  <c r="C124" i="10" a="1"/>
  <c r="C124" i="10" s="1"/>
  <c r="AH123" i="10" a="1"/>
  <c r="AH123" i="10" s="1"/>
  <c r="AG123" i="10" a="1"/>
  <c r="AG123" i="10" s="1"/>
  <c r="AE123" i="10" a="1"/>
  <c r="AE123" i="10" s="1"/>
  <c r="AD123" i="10" a="1"/>
  <c r="AD123" i="10" s="1"/>
  <c r="AC123" i="10" a="1"/>
  <c r="AC123" i="10" s="1"/>
  <c r="AB123" i="10" a="1"/>
  <c r="AB123" i="10" s="1"/>
  <c r="AA123" i="10" a="1"/>
  <c r="AA123" i="10" s="1"/>
  <c r="Z123" i="10" a="1"/>
  <c r="Z123" i="10" s="1"/>
  <c r="Y123" i="10" a="1"/>
  <c r="Y123" i="10" s="1"/>
  <c r="X123" i="10" a="1"/>
  <c r="X123" i="10" s="1"/>
  <c r="W123" i="10" a="1"/>
  <c r="W123" i="10" s="1"/>
  <c r="V123" i="10" a="1"/>
  <c r="V123" i="10" s="1"/>
  <c r="U123" i="10" a="1"/>
  <c r="U123" i="10" s="1"/>
  <c r="T123" i="10" a="1"/>
  <c r="T123" i="10" s="1"/>
  <c r="S123" i="10" a="1"/>
  <c r="S123" i="10" s="1"/>
  <c r="R123" i="10" a="1"/>
  <c r="R123" i="10" s="1"/>
  <c r="Q123" i="10" a="1"/>
  <c r="Q123" i="10" s="1"/>
  <c r="P123" i="10" a="1"/>
  <c r="P123" i="10" s="1"/>
  <c r="O123" i="10" a="1"/>
  <c r="O123" i="10" s="1"/>
  <c r="N123" i="10" a="1"/>
  <c r="N123" i="10" s="1"/>
  <c r="M123" i="10" a="1"/>
  <c r="M123" i="10" s="1"/>
  <c r="L123" i="10" a="1"/>
  <c r="L123" i="10" s="1"/>
  <c r="K123" i="10" a="1"/>
  <c r="K123" i="10" s="1"/>
  <c r="J123" i="10" a="1"/>
  <c r="J123" i="10" s="1"/>
  <c r="I123" i="10" a="1"/>
  <c r="I123" i="10" s="1"/>
  <c r="H123" i="10" a="1"/>
  <c r="H123" i="10" s="1"/>
  <c r="G123" i="10" a="1"/>
  <c r="G123" i="10" s="1"/>
  <c r="F123" i="10" a="1"/>
  <c r="F123" i="10" s="1"/>
  <c r="E123" i="10" a="1"/>
  <c r="E123" i="10" s="1"/>
  <c r="D123" i="10" a="1"/>
  <c r="D123" i="10" s="1"/>
  <c r="C123" i="10" a="1"/>
  <c r="C123" i="10" s="1"/>
  <c r="AH122" i="10" a="1"/>
  <c r="AH122" i="10" s="1"/>
  <c r="AG122" i="10" a="1"/>
  <c r="AG122" i="10" s="1"/>
  <c r="AF122" i="10" a="1"/>
  <c r="AF122" i="10" s="1"/>
  <c r="AD122" i="10" a="1"/>
  <c r="AD122" i="10" s="1"/>
  <c r="AC122" i="10" a="1"/>
  <c r="AC122" i="10" s="1"/>
  <c r="AB122" i="10" a="1"/>
  <c r="AB122" i="10" s="1"/>
  <c r="AA122" i="10" a="1"/>
  <c r="AA122" i="10" s="1"/>
  <c r="Z122" i="10" a="1"/>
  <c r="Z122" i="10" s="1"/>
  <c r="Y122" i="10" a="1"/>
  <c r="Y122" i="10" s="1"/>
  <c r="X122" i="10" a="1"/>
  <c r="X122" i="10" s="1"/>
  <c r="W122" i="10" a="1"/>
  <c r="W122" i="10" s="1"/>
  <c r="V122" i="10" a="1"/>
  <c r="V122" i="10" s="1"/>
  <c r="U122" i="10" a="1"/>
  <c r="U122" i="10" s="1"/>
  <c r="T122" i="10" a="1"/>
  <c r="T122" i="10" s="1"/>
  <c r="S122" i="10" a="1"/>
  <c r="S122" i="10" s="1"/>
  <c r="R122" i="10" a="1"/>
  <c r="R122" i="10" s="1"/>
  <c r="Q122" i="10" a="1"/>
  <c r="Q122" i="10" s="1"/>
  <c r="P122" i="10" a="1"/>
  <c r="P122" i="10" s="1"/>
  <c r="O122" i="10" a="1"/>
  <c r="O122" i="10" s="1"/>
  <c r="N122" i="10" a="1"/>
  <c r="N122" i="10" s="1"/>
  <c r="M122" i="10" a="1"/>
  <c r="M122" i="10" s="1"/>
  <c r="L122" i="10" a="1"/>
  <c r="L122" i="10" s="1"/>
  <c r="K122" i="10" a="1"/>
  <c r="K122" i="10" s="1"/>
  <c r="J122" i="10" a="1"/>
  <c r="J122" i="10" s="1"/>
  <c r="I122" i="10" a="1"/>
  <c r="I122" i="10" s="1"/>
  <c r="H122" i="10" a="1"/>
  <c r="H122" i="10" s="1"/>
  <c r="G122" i="10" a="1"/>
  <c r="G122" i="10" s="1"/>
  <c r="F122" i="10" a="1"/>
  <c r="F122" i="10" s="1"/>
  <c r="E122" i="10" a="1"/>
  <c r="E122" i="10" s="1"/>
  <c r="D122" i="10" a="1"/>
  <c r="D122" i="10" s="1"/>
  <c r="C122" i="10" a="1"/>
  <c r="C122" i="10" s="1"/>
  <c r="AH121" i="10" a="1"/>
  <c r="AH121" i="10" s="1"/>
  <c r="AG121" i="10" a="1"/>
  <c r="AG121" i="10" s="1"/>
  <c r="AF121" i="10" a="1"/>
  <c r="AF121" i="10" s="1"/>
  <c r="AE121" i="10" a="1"/>
  <c r="AE121" i="10" s="1"/>
  <c r="AC121" i="10" a="1"/>
  <c r="AC121" i="10" s="1"/>
  <c r="AB121" i="10" a="1"/>
  <c r="AB121" i="10" s="1"/>
  <c r="AA121" i="10" a="1"/>
  <c r="AA121" i="10" s="1"/>
  <c r="Z121" i="10" a="1"/>
  <c r="Z121" i="10" s="1"/>
  <c r="Y121" i="10" a="1"/>
  <c r="Y121" i="10" s="1"/>
  <c r="X121" i="10" a="1"/>
  <c r="X121" i="10" s="1"/>
  <c r="W121" i="10" a="1"/>
  <c r="W121" i="10" s="1"/>
  <c r="V121" i="10" a="1"/>
  <c r="V121" i="10" s="1"/>
  <c r="U121" i="10" a="1"/>
  <c r="U121" i="10" s="1"/>
  <c r="T121" i="10" a="1"/>
  <c r="T121" i="10" s="1"/>
  <c r="S121" i="10" a="1"/>
  <c r="S121" i="10" s="1"/>
  <c r="R121" i="10" a="1"/>
  <c r="R121" i="10" s="1"/>
  <c r="Q121" i="10" a="1"/>
  <c r="Q121" i="10" s="1"/>
  <c r="P121" i="10" a="1"/>
  <c r="P121" i="10" s="1"/>
  <c r="O121" i="10" a="1"/>
  <c r="O121" i="10" s="1"/>
  <c r="N121" i="10" a="1"/>
  <c r="N121" i="10" s="1"/>
  <c r="M121" i="10" a="1"/>
  <c r="M121" i="10" s="1"/>
  <c r="L121" i="10" a="1"/>
  <c r="L121" i="10" s="1"/>
  <c r="K121" i="10" a="1"/>
  <c r="K121" i="10" s="1"/>
  <c r="J121" i="10" a="1"/>
  <c r="J121" i="10" s="1"/>
  <c r="I121" i="10" a="1"/>
  <c r="I121" i="10" s="1"/>
  <c r="H121" i="10" a="1"/>
  <c r="H121" i="10" s="1"/>
  <c r="G121" i="10" a="1"/>
  <c r="G121" i="10" s="1"/>
  <c r="F121" i="10" a="1"/>
  <c r="F121" i="10" s="1"/>
  <c r="E121" i="10" a="1"/>
  <c r="E121" i="10" s="1"/>
  <c r="D121" i="10" a="1"/>
  <c r="D121" i="10" s="1"/>
  <c r="C121" i="10" a="1"/>
  <c r="C121" i="10" s="1"/>
  <c r="AH120" i="10" a="1"/>
  <c r="AH120" i="10" s="1"/>
  <c r="AG120" i="10" a="1"/>
  <c r="AG120" i="10" s="1"/>
  <c r="AF120" i="10" a="1"/>
  <c r="AF120" i="10" s="1"/>
  <c r="AE120" i="10" a="1"/>
  <c r="AE120" i="10" s="1"/>
  <c r="AD120" i="10" a="1"/>
  <c r="AD120" i="10" s="1"/>
  <c r="AB120" i="10" a="1"/>
  <c r="AB120" i="10" s="1"/>
  <c r="AA120" i="10" a="1"/>
  <c r="AA120" i="10" s="1"/>
  <c r="Z120" i="10" a="1"/>
  <c r="Z120" i="10" s="1"/>
  <c r="Y120" i="10" a="1"/>
  <c r="Y120" i="10" s="1"/>
  <c r="X120" i="10" a="1"/>
  <c r="X120" i="10" s="1"/>
  <c r="W120" i="10" a="1"/>
  <c r="W120" i="10" s="1"/>
  <c r="V120" i="10" a="1"/>
  <c r="V120" i="10" s="1"/>
  <c r="U120" i="10" a="1"/>
  <c r="U120" i="10" s="1"/>
  <c r="T120" i="10" a="1"/>
  <c r="T120" i="10" s="1"/>
  <c r="S120" i="10" a="1"/>
  <c r="S120" i="10" s="1"/>
  <c r="R120" i="10" a="1"/>
  <c r="R120" i="10" s="1"/>
  <c r="Q120" i="10" a="1"/>
  <c r="Q120" i="10" s="1"/>
  <c r="P120" i="10" a="1"/>
  <c r="P120" i="10" s="1"/>
  <c r="O120" i="10" a="1"/>
  <c r="O120" i="10" s="1"/>
  <c r="N120" i="10" a="1"/>
  <c r="N120" i="10" s="1"/>
  <c r="M120" i="10" a="1"/>
  <c r="M120" i="10" s="1"/>
  <c r="L120" i="10" a="1"/>
  <c r="L120" i="10" s="1"/>
  <c r="K120" i="10" a="1"/>
  <c r="K120" i="10" s="1"/>
  <c r="J120" i="10" a="1"/>
  <c r="J120" i="10" s="1"/>
  <c r="I120" i="10" a="1"/>
  <c r="I120" i="10" s="1"/>
  <c r="H120" i="10" a="1"/>
  <c r="H120" i="10" s="1"/>
  <c r="G120" i="10" a="1"/>
  <c r="G120" i="10" s="1"/>
  <c r="F120" i="10" a="1"/>
  <c r="F120" i="10" s="1"/>
  <c r="E120" i="10" a="1"/>
  <c r="E120" i="10" s="1"/>
  <c r="D120" i="10" a="1"/>
  <c r="D120" i="10" s="1"/>
  <c r="C120" i="10" a="1"/>
  <c r="C120" i="10" s="1"/>
  <c r="AH119" i="10" a="1"/>
  <c r="AH119" i="10" s="1"/>
  <c r="AG119" i="10" a="1"/>
  <c r="AG119" i="10" s="1"/>
  <c r="AF119" i="10" a="1"/>
  <c r="AF119" i="10" s="1"/>
  <c r="AE119" i="10" a="1"/>
  <c r="AE119" i="10" s="1"/>
  <c r="AD119" i="10" a="1"/>
  <c r="AD119" i="10" s="1"/>
  <c r="AC119" i="10" a="1"/>
  <c r="AC119" i="10" s="1"/>
  <c r="AA119" i="10" a="1"/>
  <c r="AA119" i="10" s="1"/>
  <c r="Z119" i="10" a="1"/>
  <c r="Z119" i="10" s="1"/>
  <c r="Y119" i="10" a="1"/>
  <c r="Y119" i="10" s="1"/>
  <c r="X119" i="10" a="1"/>
  <c r="X119" i="10" s="1"/>
  <c r="W119" i="10" a="1"/>
  <c r="W119" i="10" s="1"/>
  <c r="V119" i="10" a="1"/>
  <c r="V119" i="10" s="1"/>
  <c r="U119" i="10" a="1"/>
  <c r="U119" i="10" s="1"/>
  <c r="T119" i="10" a="1"/>
  <c r="T119" i="10" s="1"/>
  <c r="S119" i="10" a="1"/>
  <c r="S119" i="10" s="1"/>
  <c r="R119" i="10" a="1"/>
  <c r="R119" i="10" s="1"/>
  <c r="Q119" i="10" a="1"/>
  <c r="Q119" i="10" s="1"/>
  <c r="P119" i="10" a="1"/>
  <c r="P119" i="10" s="1"/>
  <c r="O119" i="10" a="1"/>
  <c r="O119" i="10" s="1"/>
  <c r="N119" i="10" a="1"/>
  <c r="N119" i="10" s="1"/>
  <c r="M119" i="10" a="1"/>
  <c r="M119" i="10" s="1"/>
  <c r="L119" i="10" a="1"/>
  <c r="L119" i="10" s="1"/>
  <c r="K119" i="10" a="1"/>
  <c r="K119" i="10" s="1"/>
  <c r="J119" i="10" a="1"/>
  <c r="J119" i="10" s="1"/>
  <c r="I119" i="10" a="1"/>
  <c r="I119" i="10" s="1"/>
  <c r="H119" i="10" a="1"/>
  <c r="H119" i="10" s="1"/>
  <c r="G119" i="10" a="1"/>
  <c r="G119" i="10" s="1"/>
  <c r="F119" i="10" a="1"/>
  <c r="F119" i="10" s="1"/>
  <c r="E119" i="10" a="1"/>
  <c r="E119" i="10" s="1"/>
  <c r="D119" i="10" a="1"/>
  <c r="D119" i="10" s="1"/>
  <c r="C119" i="10" a="1"/>
  <c r="C119" i="10" s="1"/>
  <c r="AH118" i="10" a="1"/>
  <c r="AH118" i="10" s="1"/>
  <c r="AG118" i="10" a="1"/>
  <c r="AG118" i="10" s="1"/>
  <c r="AF118" i="10" a="1"/>
  <c r="AF118" i="10" s="1"/>
  <c r="AE118" i="10" a="1"/>
  <c r="AE118" i="10" s="1"/>
  <c r="AD118" i="10" a="1"/>
  <c r="AD118" i="10" s="1"/>
  <c r="AC118" i="10" a="1"/>
  <c r="AC118" i="10" s="1"/>
  <c r="AB118" i="10" a="1"/>
  <c r="AB118" i="10" s="1"/>
  <c r="Z118" i="10" a="1"/>
  <c r="Z118" i="10" s="1"/>
  <c r="Y118" i="10" a="1"/>
  <c r="Y118" i="10" s="1"/>
  <c r="X118" i="10" a="1"/>
  <c r="X118" i="10" s="1"/>
  <c r="W118" i="10" a="1"/>
  <c r="W118" i="10" s="1"/>
  <c r="V118" i="10" a="1"/>
  <c r="V118" i="10" s="1"/>
  <c r="U118" i="10" a="1"/>
  <c r="U118" i="10" s="1"/>
  <c r="T118" i="10" a="1"/>
  <c r="T118" i="10" s="1"/>
  <c r="S118" i="10" a="1"/>
  <c r="S118" i="10" s="1"/>
  <c r="R118" i="10" a="1"/>
  <c r="R118" i="10" s="1"/>
  <c r="Q118" i="10" a="1"/>
  <c r="Q118" i="10" s="1"/>
  <c r="P118" i="10" a="1"/>
  <c r="P118" i="10" s="1"/>
  <c r="O118" i="10" a="1"/>
  <c r="O118" i="10" s="1"/>
  <c r="N118" i="10" a="1"/>
  <c r="N118" i="10" s="1"/>
  <c r="M118" i="10" a="1"/>
  <c r="M118" i="10" s="1"/>
  <c r="L118" i="10" a="1"/>
  <c r="L118" i="10" s="1"/>
  <c r="K118" i="10" a="1"/>
  <c r="K118" i="10" s="1"/>
  <c r="J118" i="10" a="1"/>
  <c r="J118" i="10" s="1"/>
  <c r="I118" i="10" a="1"/>
  <c r="I118" i="10" s="1"/>
  <c r="H118" i="10" a="1"/>
  <c r="H118" i="10" s="1"/>
  <c r="G118" i="10" a="1"/>
  <c r="G118" i="10" s="1"/>
  <c r="F118" i="10" a="1"/>
  <c r="F118" i="10" s="1"/>
  <c r="E118" i="10" a="1"/>
  <c r="E118" i="10" s="1"/>
  <c r="D118" i="10" a="1"/>
  <c r="D118" i="10" s="1"/>
  <c r="C118" i="10" a="1"/>
  <c r="C118" i="10" s="1"/>
  <c r="AH117" i="10" a="1"/>
  <c r="AH117" i="10" s="1"/>
  <c r="AG117" i="10" a="1"/>
  <c r="AG117" i="10" s="1"/>
  <c r="AF117" i="10" a="1"/>
  <c r="AF117" i="10" s="1"/>
  <c r="AE117" i="10" a="1"/>
  <c r="AE117" i="10" s="1"/>
  <c r="AD117" i="10" a="1"/>
  <c r="AD117" i="10" s="1"/>
  <c r="AC117" i="10" a="1"/>
  <c r="AC117" i="10" s="1"/>
  <c r="AB117" i="10" a="1"/>
  <c r="AB117" i="10" s="1"/>
  <c r="AA117" i="10" a="1"/>
  <c r="AA117" i="10" s="1"/>
  <c r="Y117" i="10" a="1"/>
  <c r="Y117" i="10" s="1"/>
  <c r="X117" i="10" a="1"/>
  <c r="X117" i="10" s="1"/>
  <c r="W117" i="10" a="1"/>
  <c r="W117" i="10" s="1"/>
  <c r="V117" i="10" a="1"/>
  <c r="V117" i="10" s="1"/>
  <c r="U117" i="10" a="1"/>
  <c r="U117" i="10" s="1"/>
  <c r="T117" i="10" a="1"/>
  <c r="T117" i="10" s="1"/>
  <c r="S117" i="10" a="1"/>
  <c r="S117" i="10" s="1"/>
  <c r="R117" i="10" a="1"/>
  <c r="R117" i="10" s="1"/>
  <c r="Q117" i="10" a="1"/>
  <c r="Q117" i="10" s="1"/>
  <c r="P117" i="10" a="1"/>
  <c r="P117" i="10" s="1"/>
  <c r="O117" i="10" a="1"/>
  <c r="O117" i="10" s="1"/>
  <c r="N117" i="10" a="1"/>
  <c r="N117" i="10" s="1"/>
  <c r="M117" i="10" a="1"/>
  <c r="M117" i="10" s="1"/>
  <c r="L117" i="10" a="1"/>
  <c r="L117" i="10" s="1"/>
  <c r="K117" i="10" a="1"/>
  <c r="K117" i="10" s="1"/>
  <c r="J117" i="10" a="1"/>
  <c r="J117" i="10" s="1"/>
  <c r="I117" i="10" a="1"/>
  <c r="I117" i="10" s="1"/>
  <c r="H117" i="10" a="1"/>
  <c r="H117" i="10" s="1"/>
  <c r="G117" i="10" a="1"/>
  <c r="G117" i="10" s="1"/>
  <c r="F117" i="10" a="1"/>
  <c r="F117" i="10" s="1"/>
  <c r="E117" i="10" a="1"/>
  <c r="E117" i="10" s="1"/>
  <c r="D117" i="10" a="1"/>
  <c r="D117" i="10" s="1"/>
  <c r="C117" i="10" a="1"/>
  <c r="C117" i="10" s="1"/>
  <c r="AH116" i="10" a="1"/>
  <c r="AH116" i="10" s="1"/>
  <c r="AG116" i="10" a="1"/>
  <c r="AG116" i="10" s="1"/>
  <c r="AF116" i="10" a="1"/>
  <c r="AF116" i="10" s="1"/>
  <c r="AE116" i="10" a="1"/>
  <c r="AE116" i="10" s="1"/>
  <c r="AD116" i="10" a="1"/>
  <c r="AD116" i="10" s="1"/>
  <c r="AC116" i="10" a="1"/>
  <c r="AC116" i="10" s="1"/>
  <c r="AB116" i="10" a="1"/>
  <c r="AB116" i="10" s="1"/>
  <c r="AA116" i="10" a="1"/>
  <c r="AA116" i="10" s="1"/>
  <c r="Z116" i="10" a="1"/>
  <c r="Z116" i="10" s="1"/>
  <c r="X116" i="10" a="1"/>
  <c r="X116" i="10" s="1"/>
  <c r="W116" i="10" a="1"/>
  <c r="W116" i="10" s="1"/>
  <c r="V116" i="10" a="1"/>
  <c r="V116" i="10" s="1"/>
  <c r="U116" i="10" a="1"/>
  <c r="U116" i="10" s="1"/>
  <c r="T116" i="10" a="1"/>
  <c r="T116" i="10" s="1"/>
  <c r="S116" i="10" a="1"/>
  <c r="S116" i="10" s="1"/>
  <c r="R116" i="10" a="1"/>
  <c r="R116" i="10" s="1"/>
  <c r="Q116" i="10" a="1"/>
  <c r="Q116" i="10" s="1"/>
  <c r="P116" i="10" a="1"/>
  <c r="P116" i="10" s="1"/>
  <c r="O116" i="10" a="1"/>
  <c r="O116" i="10" s="1"/>
  <c r="N116" i="10" a="1"/>
  <c r="N116" i="10" s="1"/>
  <c r="M116" i="10" a="1"/>
  <c r="M116" i="10" s="1"/>
  <c r="L116" i="10" a="1"/>
  <c r="L116" i="10" s="1"/>
  <c r="K116" i="10" a="1"/>
  <c r="K116" i="10" s="1"/>
  <c r="J116" i="10" a="1"/>
  <c r="J116" i="10" s="1"/>
  <c r="I116" i="10" a="1"/>
  <c r="I116" i="10" s="1"/>
  <c r="H116" i="10" a="1"/>
  <c r="H116" i="10" s="1"/>
  <c r="G116" i="10" a="1"/>
  <c r="G116" i="10" s="1"/>
  <c r="F116" i="10" a="1"/>
  <c r="F116" i="10" s="1"/>
  <c r="E116" i="10" a="1"/>
  <c r="E116" i="10" s="1"/>
  <c r="D116" i="10" a="1"/>
  <c r="D116" i="10" s="1"/>
  <c r="C116" i="10" a="1"/>
  <c r="C116" i="10" s="1"/>
  <c r="AH115" i="10" a="1"/>
  <c r="AH115" i="10" s="1"/>
  <c r="AG115" i="10" a="1"/>
  <c r="AG115" i="10" s="1"/>
  <c r="AF115" i="10" a="1"/>
  <c r="AF115" i="10" s="1"/>
  <c r="AE115" i="10" a="1"/>
  <c r="AE115" i="10" s="1"/>
  <c r="AD115" i="10" a="1"/>
  <c r="AD115" i="10" s="1"/>
  <c r="AC115" i="10" a="1"/>
  <c r="AC115" i="10" s="1"/>
  <c r="AB115" i="10" a="1"/>
  <c r="AB115" i="10" s="1"/>
  <c r="AA115" i="10" a="1"/>
  <c r="AA115" i="10" s="1"/>
  <c r="Z115" i="10" a="1"/>
  <c r="Z115" i="10" s="1"/>
  <c r="Y115" i="10" a="1"/>
  <c r="Y115" i="10" s="1"/>
  <c r="W115" i="10" a="1"/>
  <c r="W115" i="10" s="1"/>
  <c r="V115" i="10" a="1"/>
  <c r="V115" i="10" s="1"/>
  <c r="U115" i="10" a="1"/>
  <c r="U115" i="10" s="1"/>
  <c r="T115" i="10" a="1"/>
  <c r="T115" i="10" s="1"/>
  <c r="S115" i="10" a="1"/>
  <c r="S115" i="10" s="1"/>
  <c r="R115" i="10" a="1"/>
  <c r="R115" i="10" s="1"/>
  <c r="Q115" i="10" a="1"/>
  <c r="Q115" i="10" s="1"/>
  <c r="P115" i="10" a="1"/>
  <c r="P115" i="10" s="1"/>
  <c r="O115" i="10" a="1"/>
  <c r="O115" i="10" s="1"/>
  <c r="N115" i="10" a="1"/>
  <c r="N115" i="10" s="1"/>
  <c r="M115" i="10" a="1"/>
  <c r="M115" i="10" s="1"/>
  <c r="L115" i="10" a="1"/>
  <c r="L115" i="10" s="1"/>
  <c r="K115" i="10" a="1"/>
  <c r="K115" i="10" s="1"/>
  <c r="J115" i="10" a="1"/>
  <c r="J115" i="10" s="1"/>
  <c r="I115" i="10" a="1"/>
  <c r="I115" i="10" s="1"/>
  <c r="H115" i="10" a="1"/>
  <c r="H115" i="10" s="1"/>
  <c r="G115" i="10" a="1"/>
  <c r="G115" i="10" s="1"/>
  <c r="F115" i="10" a="1"/>
  <c r="F115" i="10" s="1"/>
  <c r="E115" i="10" a="1"/>
  <c r="E115" i="10" s="1"/>
  <c r="D115" i="10" a="1"/>
  <c r="D115" i="10" s="1"/>
  <c r="C115" i="10" a="1"/>
  <c r="C115" i="10" s="1"/>
  <c r="AH114" i="10" a="1"/>
  <c r="AH114" i="10" s="1"/>
  <c r="AG114" i="10" a="1"/>
  <c r="AG114" i="10" s="1"/>
  <c r="AF114" i="10" a="1"/>
  <c r="AF114" i="10" s="1"/>
  <c r="AE114" i="10" a="1"/>
  <c r="AE114" i="10" s="1"/>
  <c r="AD114" i="10" a="1"/>
  <c r="AD114" i="10" s="1"/>
  <c r="AC114" i="10" a="1"/>
  <c r="AC114" i="10" s="1"/>
  <c r="AB114" i="10" a="1"/>
  <c r="AB114" i="10" s="1"/>
  <c r="AA114" i="10" a="1"/>
  <c r="AA114" i="10" s="1"/>
  <c r="Z114" i="10" a="1"/>
  <c r="Z114" i="10" s="1"/>
  <c r="Y114" i="10" a="1"/>
  <c r="Y114" i="10" s="1"/>
  <c r="X114" i="10" a="1"/>
  <c r="X114" i="10" s="1"/>
  <c r="V114" i="10" a="1"/>
  <c r="V114" i="10" s="1"/>
  <c r="U114" i="10" a="1"/>
  <c r="U114" i="10" s="1"/>
  <c r="T114" i="10" a="1"/>
  <c r="T114" i="10" s="1"/>
  <c r="S114" i="10" a="1"/>
  <c r="S114" i="10" s="1"/>
  <c r="R114" i="10" a="1"/>
  <c r="R114" i="10" s="1"/>
  <c r="Q114" i="10" a="1"/>
  <c r="Q114" i="10" s="1"/>
  <c r="P114" i="10" a="1"/>
  <c r="P114" i="10" s="1"/>
  <c r="O114" i="10" a="1"/>
  <c r="O114" i="10" s="1"/>
  <c r="N114" i="10" a="1"/>
  <c r="N114" i="10" s="1"/>
  <c r="M114" i="10" a="1"/>
  <c r="M114" i="10" s="1"/>
  <c r="L114" i="10" a="1"/>
  <c r="L114" i="10" s="1"/>
  <c r="K114" i="10" a="1"/>
  <c r="K114" i="10" s="1"/>
  <c r="J114" i="10" a="1"/>
  <c r="J114" i="10" s="1"/>
  <c r="I114" i="10" a="1"/>
  <c r="I114" i="10" s="1"/>
  <c r="H114" i="10" a="1"/>
  <c r="H114" i="10" s="1"/>
  <c r="G114" i="10" a="1"/>
  <c r="G114" i="10" s="1"/>
  <c r="F114" i="10" a="1"/>
  <c r="F114" i="10" s="1"/>
  <c r="E114" i="10" a="1"/>
  <c r="E114" i="10" s="1"/>
  <c r="D114" i="10" a="1"/>
  <c r="D114" i="10" s="1"/>
  <c r="C114" i="10" a="1"/>
  <c r="C114" i="10" s="1"/>
  <c r="AH113" i="10" a="1"/>
  <c r="AH113" i="10" s="1"/>
  <c r="AG113" i="10" a="1"/>
  <c r="AG113" i="10" s="1"/>
  <c r="AF113" i="10" a="1"/>
  <c r="AF113" i="10" s="1"/>
  <c r="AE113" i="10" a="1"/>
  <c r="AE113" i="10" s="1"/>
  <c r="AD113" i="10" a="1"/>
  <c r="AD113" i="10" s="1"/>
  <c r="AC113" i="10" a="1"/>
  <c r="AC113" i="10" s="1"/>
  <c r="AB113" i="10" a="1"/>
  <c r="AB113" i="10" s="1"/>
  <c r="AA113" i="10" a="1"/>
  <c r="AA113" i="10" s="1"/>
  <c r="Z113" i="10" a="1"/>
  <c r="Z113" i="10" s="1"/>
  <c r="Y113" i="10" a="1"/>
  <c r="Y113" i="10" s="1"/>
  <c r="X113" i="10" a="1"/>
  <c r="X113" i="10" s="1"/>
  <c r="W113" i="10" a="1"/>
  <c r="W113" i="10" s="1"/>
  <c r="U113" i="10" a="1"/>
  <c r="U113" i="10" s="1"/>
  <c r="T113" i="10" a="1"/>
  <c r="T113" i="10" s="1"/>
  <c r="S113" i="10" a="1"/>
  <c r="S113" i="10" s="1"/>
  <c r="R113" i="10" a="1"/>
  <c r="R113" i="10" s="1"/>
  <c r="Q113" i="10" a="1"/>
  <c r="Q113" i="10" s="1"/>
  <c r="P113" i="10" a="1"/>
  <c r="P113" i="10" s="1"/>
  <c r="O113" i="10" a="1"/>
  <c r="O113" i="10" s="1"/>
  <c r="N113" i="10" a="1"/>
  <c r="N113" i="10" s="1"/>
  <c r="M113" i="10" a="1"/>
  <c r="M113" i="10" s="1"/>
  <c r="L113" i="10" a="1"/>
  <c r="L113" i="10" s="1"/>
  <c r="K113" i="10" a="1"/>
  <c r="K113" i="10" s="1"/>
  <c r="J113" i="10" a="1"/>
  <c r="J113" i="10" s="1"/>
  <c r="I113" i="10" a="1"/>
  <c r="I113" i="10" s="1"/>
  <c r="H113" i="10" a="1"/>
  <c r="H113" i="10" s="1"/>
  <c r="G113" i="10" a="1"/>
  <c r="G113" i="10" s="1"/>
  <c r="F113" i="10" a="1"/>
  <c r="F113" i="10" s="1"/>
  <c r="E113" i="10" a="1"/>
  <c r="E113" i="10" s="1"/>
  <c r="D113" i="10" a="1"/>
  <c r="D113" i="10" s="1"/>
  <c r="C113" i="10" a="1"/>
  <c r="C113" i="10" s="1"/>
  <c r="AH112" i="10" a="1"/>
  <c r="AH112" i="10" s="1"/>
  <c r="AG112" i="10" a="1"/>
  <c r="AG112" i="10" s="1"/>
  <c r="AF112" i="10" a="1"/>
  <c r="AF112" i="10" s="1"/>
  <c r="AE112" i="10" a="1"/>
  <c r="AE112" i="10" s="1"/>
  <c r="AD112" i="10" a="1"/>
  <c r="AD112" i="10" s="1"/>
  <c r="AC112" i="10" a="1"/>
  <c r="AC112" i="10" s="1"/>
  <c r="AB112" i="10" a="1"/>
  <c r="AB112" i="10" s="1"/>
  <c r="AA112" i="10" a="1"/>
  <c r="AA112" i="10" s="1"/>
  <c r="Z112" i="10" a="1"/>
  <c r="Z112" i="10" s="1"/>
  <c r="Y112" i="10" a="1"/>
  <c r="Y112" i="10" s="1"/>
  <c r="X112" i="10" a="1"/>
  <c r="X112" i="10" s="1"/>
  <c r="W112" i="10" a="1"/>
  <c r="W112" i="10" s="1"/>
  <c r="V112" i="10" a="1"/>
  <c r="V112" i="10" s="1"/>
  <c r="T112" i="10" a="1"/>
  <c r="T112" i="10" s="1"/>
  <c r="S112" i="10" a="1"/>
  <c r="S112" i="10" s="1"/>
  <c r="R112" i="10" a="1"/>
  <c r="R112" i="10" s="1"/>
  <c r="Q112" i="10" a="1"/>
  <c r="Q112" i="10" s="1"/>
  <c r="P112" i="10" a="1"/>
  <c r="P112" i="10" s="1"/>
  <c r="O112" i="10" a="1"/>
  <c r="O112" i="10" s="1"/>
  <c r="N112" i="10" a="1"/>
  <c r="N112" i="10" s="1"/>
  <c r="M112" i="10" a="1"/>
  <c r="M112" i="10" s="1"/>
  <c r="L112" i="10" a="1"/>
  <c r="L112" i="10" s="1"/>
  <c r="K112" i="10" a="1"/>
  <c r="K112" i="10" s="1"/>
  <c r="J112" i="10" a="1"/>
  <c r="J112" i="10" s="1"/>
  <c r="I112" i="10" a="1"/>
  <c r="I112" i="10" s="1"/>
  <c r="H112" i="10" a="1"/>
  <c r="H112" i="10" s="1"/>
  <c r="G112" i="10" a="1"/>
  <c r="G112" i="10" s="1"/>
  <c r="F112" i="10" a="1"/>
  <c r="F112" i="10" s="1"/>
  <c r="E112" i="10" a="1"/>
  <c r="E112" i="10" s="1"/>
  <c r="D112" i="10" a="1"/>
  <c r="D112" i="10" s="1"/>
  <c r="C112" i="10" a="1"/>
  <c r="C112" i="10" s="1"/>
  <c r="AH111" i="10" a="1"/>
  <c r="AH111" i="10" s="1"/>
  <c r="AG111" i="10" a="1"/>
  <c r="AG111" i="10" s="1"/>
  <c r="AF111" i="10" a="1"/>
  <c r="AF111" i="10" s="1"/>
  <c r="AE111" i="10" a="1"/>
  <c r="AE111" i="10" s="1"/>
  <c r="AD111" i="10" a="1"/>
  <c r="AD111" i="10" s="1"/>
  <c r="AC111" i="10" a="1"/>
  <c r="AC111" i="10" s="1"/>
  <c r="AB111" i="10" a="1"/>
  <c r="AB111" i="10" s="1"/>
  <c r="AA111" i="10" a="1"/>
  <c r="AA111" i="10" s="1"/>
  <c r="Z111" i="10" a="1"/>
  <c r="Z111" i="10" s="1"/>
  <c r="Y111" i="10" a="1"/>
  <c r="Y111" i="10" s="1"/>
  <c r="X111" i="10" a="1"/>
  <c r="X111" i="10" s="1"/>
  <c r="W111" i="10" a="1"/>
  <c r="W111" i="10" s="1"/>
  <c r="V111" i="10" a="1"/>
  <c r="V111" i="10" s="1"/>
  <c r="U111" i="10" a="1"/>
  <c r="U111" i="10" s="1"/>
  <c r="S111" i="10" a="1"/>
  <c r="S111" i="10" s="1"/>
  <c r="R111" i="10" a="1"/>
  <c r="R111" i="10" s="1"/>
  <c r="Q111" i="10" a="1"/>
  <c r="Q111" i="10" s="1"/>
  <c r="P111" i="10" a="1"/>
  <c r="P111" i="10" s="1"/>
  <c r="O111" i="10" a="1"/>
  <c r="O111" i="10" s="1"/>
  <c r="N111" i="10" a="1"/>
  <c r="N111" i="10" s="1"/>
  <c r="M111" i="10" a="1"/>
  <c r="M111" i="10" s="1"/>
  <c r="L111" i="10" a="1"/>
  <c r="L111" i="10" s="1"/>
  <c r="K111" i="10" a="1"/>
  <c r="K111" i="10" s="1"/>
  <c r="J111" i="10" a="1"/>
  <c r="J111" i="10" s="1"/>
  <c r="I111" i="10" a="1"/>
  <c r="I111" i="10" s="1"/>
  <c r="H111" i="10" a="1"/>
  <c r="H111" i="10" s="1"/>
  <c r="G111" i="10" a="1"/>
  <c r="G111" i="10" s="1"/>
  <c r="F111" i="10" a="1"/>
  <c r="F111" i="10" s="1"/>
  <c r="E111" i="10" a="1"/>
  <c r="E111" i="10" s="1"/>
  <c r="D111" i="10" a="1"/>
  <c r="D111" i="10" s="1"/>
  <c r="C111" i="10" a="1"/>
  <c r="C111" i="10" s="1"/>
  <c r="AH110" i="10" a="1"/>
  <c r="AH110" i="10" s="1"/>
  <c r="AG110" i="10" a="1"/>
  <c r="AG110" i="10" s="1"/>
  <c r="AF110" i="10" a="1"/>
  <c r="AF110" i="10" s="1"/>
  <c r="AE110" i="10" a="1"/>
  <c r="AE110" i="10" s="1"/>
  <c r="AD110" i="10" a="1"/>
  <c r="AD110" i="10" s="1"/>
  <c r="AC110" i="10" a="1"/>
  <c r="AC110" i="10" s="1"/>
  <c r="AB110" i="10" a="1"/>
  <c r="AB110" i="10" s="1"/>
  <c r="AA110" i="10" a="1"/>
  <c r="AA110" i="10" s="1"/>
  <c r="Z110" i="10" a="1"/>
  <c r="Z110" i="10" s="1"/>
  <c r="Y110" i="10" a="1"/>
  <c r="Y110" i="10" s="1"/>
  <c r="X110" i="10" a="1"/>
  <c r="X110" i="10" s="1"/>
  <c r="W110" i="10" a="1"/>
  <c r="W110" i="10" s="1"/>
  <c r="V110" i="10" a="1"/>
  <c r="V110" i="10" s="1"/>
  <c r="U110" i="10" a="1"/>
  <c r="U110" i="10" s="1"/>
  <c r="T110" i="10" a="1"/>
  <c r="T110" i="10" s="1"/>
  <c r="R110" i="10" a="1"/>
  <c r="R110" i="10" s="1"/>
  <c r="Q110" i="10" a="1"/>
  <c r="Q110" i="10" s="1"/>
  <c r="P110" i="10" a="1"/>
  <c r="P110" i="10" s="1"/>
  <c r="O110" i="10" a="1"/>
  <c r="O110" i="10" s="1"/>
  <c r="N110" i="10" a="1"/>
  <c r="N110" i="10" s="1"/>
  <c r="M110" i="10" a="1"/>
  <c r="M110" i="10" s="1"/>
  <c r="L110" i="10" a="1"/>
  <c r="L110" i="10" s="1"/>
  <c r="K110" i="10" a="1"/>
  <c r="K110" i="10" s="1"/>
  <c r="J110" i="10" a="1"/>
  <c r="J110" i="10" s="1"/>
  <c r="I110" i="10" a="1"/>
  <c r="I110" i="10" s="1"/>
  <c r="H110" i="10" a="1"/>
  <c r="H110" i="10" s="1"/>
  <c r="G110" i="10" a="1"/>
  <c r="G110" i="10" s="1"/>
  <c r="F110" i="10" a="1"/>
  <c r="F110" i="10" s="1"/>
  <c r="E110" i="10" a="1"/>
  <c r="E110" i="10" s="1"/>
  <c r="D110" i="10" a="1"/>
  <c r="D110" i="10" s="1"/>
  <c r="C110" i="10" a="1"/>
  <c r="C110" i="10" s="1"/>
  <c r="AH109" i="10" a="1"/>
  <c r="AH109" i="10" s="1"/>
  <c r="AG109" i="10" a="1"/>
  <c r="AG109" i="10" s="1"/>
  <c r="AF109" i="10" a="1"/>
  <c r="AF109" i="10" s="1"/>
  <c r="AE109" i="10" a="1"/>
  <c r="AE109" i="10" s="1"/>
  <c r="AD109" i="10" a="1"/>
  <c r="AD109" i="10" s="1"/>
  <c r="AC109" i="10" a="1"/>
  <c r="AC109" i="10" s="1"/>
  <c r="AB109" i="10" a="1"/>
  <c r="AB109" i="10" s="1"/>
  <c r="AA109" i="10" a="1"/>
  <c r="AA109" i="10" s="1"/>
  <c r="Z109" i="10" a="1"/>
  <c r="Z109" i="10" s="1"/>
  <c r="Y109" i="10" a="1"/>
  <c r="Y109" i="10" s="1"/>
  <c r="X109" i="10" a="1"/>
  <c r="X109" i="10" s="1"/>
  <c r="W109" i="10" a="1"/>
  <c r="W109" i="10" s="1"/>
  <c r="V109" i="10" a="1"/>
  <c r="V109" i="10" s="1"/>
  <c r="U109" i="10" a="1"/>
  <c r="U109" i="10" s="1"/>
  <c r="T109" i="10" a="1"/>
  <c r="T109" i="10" s="1"/>
  <c r="S109" i="10" a="1"/>
  <c r="S109" i="10" s="1"/>
  <c r="Q109" i="10" a="1"/>
  <c r="Q109" i="10" s="1"/>
  <c r="P109" i="10" a="1"/>
  <c r="P109" i="10" s="1"/>
  <c r="O109" i="10" a="1"/>
  <c r="O109" i="10" s="1"/>
  <c r="N109" i="10" a="1"/>
  <c r="N109" i="10" s="1"/>
  <c r="M109" i="10" a="1"/>
  <c r="M109" i="10" s="1"/>
  <c r="L109" i="10" a="1"/>
  <c r="L109" i="10" s="1"/>
  <c r="K109" i="10" a="1"/>
  <c r="K109" i="10" s="1"/>
  <c r="J109" i="10" a="1"/>
  <c r="J109" i="10" s="1"/>
  <c r="I109" i="10" a="1"/>
  <c r="I109" i="10" s="1"/>
  <c r="H109" i="10" a="1"/>
  <c r="H109" i="10" s="1"/>
  <c r="G109" i="10" a="1"/>
  <c r="G109" i="10" s="1"/>
  <c r="F109" i="10" a="1"/>
  <c r="F109" i="10" s="1"/>
  <c r="E109" i="10" a="1"/>
  <c r="E109" i="10" s="1"/>
  <c r="D109" i="10" a="1"/>
  <c r="D109" i="10" s="1"/>
  <c r="C109" i="10" a="1"/>
  <c r="C109" i="10" s="1"/>
  <c r="AH108" i="10" a="1"/>
  <c r="AH108" i="10" s="1"/>
  <c r="AG108" i="10" a="1"/>
  <c r="AG108" i="10" s="1"/>
  <c r="AF108" i="10" a="1"/>
  <c r="AF108" i="10" s="1"/>
  <c r="AE108" i="10" a="1"/>
  <c r="AE108" i="10" s="1"/>
  <c r="AD108" i="10" a="1"/>
  <c r="AD108" i="10" s="1"/>
  <c r="AC108" i="10" a="1"/>
  <c r="AC108" i="10" s="1"/>
  <c r="AB108" i="10" a="1"/>
  <c r="AB108" i="10" s="1"/>
  <c r="AA108" i="10" a="1"/>
  <c r="AA108" i="10" s="1"/>
  <c r="Z108" i="10" a="1"/>
  <c r="Z108" i="10" s="1"/>
  <c r="Y108" i="10" a="1"/>
  <c r="Y108" i="10" s="1"/>
  <c r="X108" i="10" a="1"/>
  <c r="X108" i="10" s="1"/>
  <c r="W108" i="10" a="1"/>
  <c r="W108" i="10" s="1"/>
  <c r="V108" i="10" a="1"/>
  <c r="V108" i="10" s="1"/>
  <c r="U108" i="10" a="1"/>
  <c r="U108" i="10" s="1"/>
  <c r="T108" i="10" a="1"/>
  <c r="T108" i="10" s="1"/>
  <c r="S108" i="10" a="1"/>
  <c r="S108" i="10" s="1"/>
  <c r="R108" i="10" a="1"/>
  <c r="R108" i="10" s="1"/>
  <c r="P108" i="10" a="1"/>
  <c r="P108" i="10" s="1"/>
  <c r="O108" i="10" a="1"/>
  <c r="O108" i="10" s="1"/>
  <c r="N108" i="10" a="1"/>
  <c r="N108" i="10" s="1"/>
  <c r="M108" i="10" a="1"/>
  <c r="M108" i="10" s="1"/>
  <c r="L108" i="10" a="1"/>
  <c r="L108" i="10" s="1"/>
  <c r="K108" i="10" a="1"/>
  <c r="K108" i="10" s="1"/>
  <c r="J108" i="10" a="1"/>
  <c r="J108" i="10" s="1"/>
  <c r="I108" i="10" a="1"/>
  <c r="I108" i="10" s="1"/>
  <c r="H108" i="10" a="1"/>
  <c r="H108" i="10" s="1"/>
  <c r="G108" i="10" a="1"/>
  <c r="G108" i="10" s="1"/>
  <c r="F108" i="10" a="1"/>
  <c r="F108" i="10" s="1"/>
  <c r="E108" i="10" a="1"/>
  <c r="E108" i="10" s="1"/>
  <c r="D108" i="10" a="1"/>
  <c r="D108" i="10" s="1"/>
  <c r="C108" i="10" a="1"/>
  <c r="C108" i="10" s="1"/>
  <c r="AH107" i="10" a="1"/>
  <c r="AH107" i="10" s="1"/>
  <c r="AG107" i="10" a="1"/>
  <c r="AG107" i="10" s="1"/>
  <c r="AF107" i="10" a="1"/>
  <c r="AF107" i="10" s="1"/>
  <c r="AE107" i="10" a="1"/>
  <c r="AE107" i="10" s="1"/>
  <c r="AD107" i="10" a="1"/>
  <c r="AD107" i="10" s="1"/>
  <c r="AC107" i="10" a="1"/>
  <c r="AC107" i="10" s="1"/>
  <c r="AB107" i="10" a="1"/>
  <c r="AB107" i="10" s="1"/>
  <c r="AA107" i="10" a="1"/>
  <c r="AA107" i="10" s="1"/>
  <c r="Z107" i="10" a="1"/>
  <c r="Z107" i="10" s="1"/>
  <c r="Y107" i="10" a="1"/>
  <c r="Y107" i="10" s="1"/>
  <c r="X107" i="10" a="1"/>
  <c r="X107" i="10" s="1"/>
  <c r="W107" i="10" a="1"/>
  <c r="W107" i="10" s="1"/>
  <c r="V107" i="10" a="1"/>
  <c r="V107" i="10" s="1"/>
  <c r="U107" i="10" a="1"/>
  <c r="U107" i="10" s="1"/>
  <c r="T107" i="10" a="1"/>
  <c r="T107" i="10" s="1"/>
  <c r="S107" i="10" a="1"/>
  <c r="S107" i="10" s="1"/>
  <c r="R107" i="10" a="1"/>
  <c r="R107" i="10" s="1"/>
  <c r="Q107" i="10" a="1"/>
  <c r="Q107" i="10" s="1"/>
  <c r="O107" i="10" a="1"/>
  <c r="O107" i="10" s="1"/>
  <c r="N107" i="10" a="1"/>
  <c r="N107" i="10" s="1"/>
  <c r="M107" i="10" a="1"/>
  <c r="M107" i="10" s="1"/>
  <c r="L107" i="10" a="1"/>
  <c r="L107" i="10" s="1"/>
  <c r="K107" i="10" a="1"/>
  <c r="K107" i="10" s="1"/>
  <c r="J107" i="10" a="1"/>
  <c r="J107" i="10" s="1"/>
  <c r="I107" i="10" a="1"/>
  <c r="I107" i="10" s="1"/>
  <c r="H107" i="10" a="1"/>
  <c r="H107" i="10" s="1"/>
  <c r="G107" i="10" a="1"/>
  <c r="G107" i="10" s="1"/>
  <c r="F107" i="10" a="1"/>
  <c r="F107" i="10" s="1"/>
  <c r="E107" i="10" a="1"/>
  <c r="E107" i="10" s="1"/>
  <c r="D107" i="10" a="1"/>
  <c r="D107" i="10" s="1"/>
  <c r="C107" i="10" a="1"/>
  <c r="C107" i="10" s="1"/>
  <c r="AH106" i="10" a="1"/>
  <c r="AH106" i="10" s="1"/>
  <c r="AG106" i="10" a="1"/>
  <c r="AG106" i="10" s="1"/>
  <c r="AF106" i="10" a="1"/>
  <c r="AF106" i="10" s="1"/>
  <c r="AE106" i="10" a="1"/>
  <c r="AE106" i="10" s="1"/>
  <c r="AD106" i="10" a="1"/>
  <c r="AD106" i="10" s="1"/>
  <c r="AC106" i="10" a="1"/>
  <c r="AC106" i="10" s="1"/>
  <c r="AB106" i="10" a="1"/>
  <c r="AB106" i="10" s="1"/>
  <c r="AA106" i="10" a="1"/>
  <c r="AA106" i="10" s="1"/>
  <c r="Z106" i="10" a="1"/>
  <c r="Z106" i="10" s="1"/>
  <c r="Y106" i="10" a="1"/>
  <c r="Y106" i="10" s="1"/>
  <c r="X106" i="10" a="1"/>
  <c r="X106" i="10" s="1"/>
  <c r="W106" i="10" a="1"/>
  <c r="W106" i="10" s="1"/>
  <c r="V106" i="10" a="1"/>
  <c r="V106" i="10" s="1"/>
  <c r="U106" i="10" a="1"/>
  <c r="U106" i="10" s="1"/>
  <c r="T106" i="10" a="1"/>
  <c r="T106" i="10" s="1"/>
  <c r="S106" i="10" a="1"/>
  <c r="S106" i="10" s="1"/>
  <c r="R106" i="10" a="1"/>
  <c r="R106" i="10" s="1"/>
  <c r="Q106" i="10" a="1"/>
  <c r="Q106" i="10" s="1"/>
  <c r="P106" i="10" a="1"/>
  <c r="P106" i="10" s="1"/>
  <c r="N106" i="10" a="1"/>
  <c r="N106" i="10" s="1"/>
  <c r="M106" i="10" a="1"/>
  <c r="M106" i="10" s="1"/>
  <c r="L106" i="10" a="1"/>
  <c r="L106" i="10" s="1"/>
  <c r="K106" i="10" a="1"/>
  <c r="K106" i="10" s="1"/>
  <c r="J106" i="10" a="1"/>
  <c r="J106" i="10" s="1"/>
  <c r="I106" i="10" a="1"/>
  <c r="I106" i="10" s="1"/>
  <c r="H106" i="10" a="1"/>
  <c r="H106" i="10" s="1"/>
  <c r="G106" i="10" a="1"/>
  <c r="G106" i="10" s="1"/>
  <c r="F106" i="10" a="1"/>
  <c r="F106" i="10" s="1"/>
  <c r="E106" i="10" a="1"/>
  <c r="E106" i="10" s="1"/>
  <c r="D106" i="10" a="1"/>
  <c r="D106" i="10" s="1"/>
  <c r="C106" i="10" a="1"/>
  <c r="C106" i="10" s="1"/>
  <c r="AH105" i="10" a="1"/>
  <c r="AH105" i="10" s="1"/>
  <c r="AG105" i="10" a="1"/>
  <c r="AG105" i="10" s="1"/>
  <c r="AF105" i="10" a="1"/>
  <c r="AF105" i="10" s="1"/>
  <c r="AE105" i="10" a="1"/>
  <c r="AE105" i="10" s="1"/>
  <c r="AD105" i="10" a="1"/>
  <c r="AD105" i="10" s="1"/>
  <c r="AC105" i="10" a="1"/>
  <c r="AC105" i="10" s="1"/>
  <c r="AB105" i="10" a="1"/>
  <c r="AB105" i="10" s="1"/>
  <c r="AA105" i="10" a="1"/>
  <c r="AA105" i="10" s="1"/>
  <c r="Z105" i="10" a="1"/>
  <c r="Z105" i="10" s="1"/>
  <c r="Y105" i="10" a="1"/>
  <c r="Y105" i="10" s="1"/>
  <c r="X105" i="10" a="1"/>
  <c r="X105" i="10" s="1"/>
  <c r="W105" i="10" a="1"/>
  <c r="W105" i="10" s="1"/>
  <c r="V105" i="10" a="1"/>
  <c r="V105" i="10" s="1"/>
  <c r="U105" i="10" a="1"/>
  <c r="U105" i="10" s="1"/>
  <c r="T105" i="10" a="1"/>
  <c r="T105" i="10" s="1"/>
  <c r="S105" i="10" a="1"/>
  <c r="S105" i="10" s="1"/>
  <c r="R105" i="10" a="1"/>
  <c r="R105" i="10" s="1"/>
  <c r="Q105" i="10" a="1"/>
  <c r="Q105" i="10" s="1"/>
  <c r="P105" i="10" a="1"/>
  <c r="P105" i="10" s="1"/>
  <c r="O105" i="10" a="1"/>
  <c r="O105" i="10" s="1"/>
  <c r="M105" i="10" a="1"/>
  <c r="M105" i="10" s="1"/>
  <c r="L105" i="10" a="1"/>
  <c r="L105" i="10" s="1"/>
  <c r="K105" i="10" a="1"/>
  <c r="K105" i="10" s="1"/>
  <c r="J105" i="10" a="1"/>
  <c r="J105" i="10" s="1"/>
  <c r="I105" i="10" a="1"/>
  <c r="I105" i="10" s="1"/>
  <c r="H105" i="10" a="1"/>
  <c r="H105" i="10" s="1"/>
  <c r="G105" i="10" a="1"/>
  <c r="G105" i="10" s="1"/>
  <c r="F105" i="10" a="1"/>
  <c r="F105" i="10" s="1"/>
  <c r="E105" i="10" a="1"/>
  <c r="E105" i="10" s="1"/>
  <c r="D105" i="10" a="1"/>
  <c r="D105" i="10" s="1"/>
  <c r="C105" i="10" a="1"/>
  <c r="C105" i="10" s="1"/>
  <c r="AH104" i="10" a="1"/>
  <c r="AH104" i="10" s="1"/>
  <c r="AG104" i="10" a="1"/>
  <c r="AG104" i="10" s="1"/>
  <c r="AF104" i="10" a="1"/>
  <c r="AF104" i="10" s="1"/>
  <c r="AE104" i="10" a="1"/>
  <c r="AE104" i="10" s="1"/>
  <c r="AD104" i="10" a="1"/>
  <c r="AD104" i="10" s="1"/>
  <c r="AC104" i="10" a="1"/>
  <c r="AC104" i="10" s="1"/>
  <c r="AB104" i="10" a="1"/>
  <c r="AB104" i="10" s="1"/>
  <c r="AA104" i="10" a="1"/>
  <c r="AA104" i="10" s="1"/>
  <c r="Z104" i="10" a="1"/>
  <c r="Z104" i="10" s="1"/>
  <c r="Y104" i="10" a="1"/>
  <c r="Y104" i="10" s="1"/>
  <c r="X104" i="10" a="1"/>
  <c r="X104" i="10" s="1"/>
  <c r="W104" i="10" a="1"/>
  <c r="W104" i="10" s="1"/>
  <c r="V104" i="10" a="1"/>
  <c r="V104" i="10" s="1"/>
  <c r="U104" i="10" a="1"/>
  <c r="U104" i="10" s="1"/>
  <c r="T104" i="10" a="1"/>
  <c r="T104" i="10" s="1"/>
  <c r="S104" i="10" a="1"/>
  <c r="S104" i="10" s="1"/>
  <c r="R104" i="10" a="1"/>
  <c r="R104" i="10" s="1"/>
  <c r="Q104" i="10" a="1"/>
  <c r="Q104" i="10" s="1"/>
  <c r="P104" i="10" a="1"/>
  <c r="P104" i="10" s="1"/>
  <c r="O104" i="10" a="1"/>
  <c r="O104" i="10" s="1"/>
  <c r="N104" i="10" a="1"/>
  <c r="N104" i="10" s="1"/>
  <c r="L104" i="10" a="1"/>
  <c r="L104" i="10" s="1"/>
  <c r="K104" i="10" a="1"/>
  <c r="K104" i="10" s="1"/>
  <c r="J104" i="10" a="1"/>
  <c r="J104" i="10" s="1"/>
  <c r="I104" i="10" a="1"/>
  <c r="I104" i="10" s="1"/>
  <c r="H104" i="10" a="1"/>
  <c r="H104" i="10" s="1"/>
  <c r="G104" i="10" a="1"/>
  <c r="G104" i="10" s="1"/>
  <c r="F104" i="10" a="1"/>
  <c r="F104" i="10" s="1"/>
  <c r="E104" i="10" a="1"/>
  <c r="E104" i="10" s="1"/>
  <c r="D104" i="10" a="1"/>
  <c r="D104" i="10" s="1"/>
  <c r="C104" i="10" a="1"/>
  <c r="C104" i="10" s="1"/>
  <c r="AH103" i="10" a="1"/>
  <c r="AH103" i="10" s="1"/>
  <c r="AG103" i="10" a="1"/>
  <c r="AG103" i="10" s="1"/>
  <c r="AF103" i="10" a="1"/>
  <c r="AF103" i="10" s="1"/>
  <c r="AE103" i="10" a="1"/>
  <c r="AE103" i="10" s="1"/>
  <c r="AD103" i="10" a="1"/>
  <c r="AD103" i="10" s="1"/>
  <c r="AC103" i="10" a="1"/>
  <c r="AC103" i="10" s="1"/>
  <c r="AB103" i="10" a="1"/>
  <c r="AB103" i="10" s="1"/>
  <c r="AA103" i="10" a="1"/>
  <c r="AA103" i="10" s="1"/>
  <c r="Z103" i="10" a="1"/>
  <c r="Z103" i="10" s="1"/>
  <c r="Y103" i="10" a="1"/>
  <c r="Y103" i="10" s="1"/>
  <c r="X103" i="10" a="1"/>
  <c r="X103" i="10" s="1"/>
  <c r="W103" i="10" a="1"/>
  <c r="W103" i="10" s="1"/>
  <c r="V103" i="10" a="1"/>
  <c r="V103" i="10" s="1"/>
  <c r="U103" i="10" a="1"/>
  <c r="U103" i="10" s="1"/>
  <c r="T103" i="10" a="1"/>
  <c r="T103" i="10" s="1"/>
  <c r="S103" i="10" a="1"/>
  <c r="S103" i="10" s="1"/>
  <c r="R103" i="10" a="1"/>
  <c r="R103" i="10" s="1"/>
  <c r="Q103" i="10" a="1"/>
  <c r="Q103" i="10" s="1"/>
  <c r="P103" i="10" a="1"/>
  <c r="P103" i="10" s="1"/>
  <c r="O103" i="10" a="1"/>
  <c r="O103" i="10" s="1"/>
  <c r="N103" i="10" a="1"/>
  <c r="N103" i="10" s="1"/>
  <c r="M103" i="10" a="1"/>
  <c r="M103" i="10" s="1"/>
  <c r="K103" i="10" a="1"/>
  <c r="K103" i="10" s="1"/>
  <c r="J103" i="10" a="1"/>
  <c r="J103" i="10" s="1"/>
  <c r="I103" i="10" a="1"/>
  <c r="I103" i="10" s="1"/>
  <c r="H103" i="10" a="1"/>
  <c r="H103" i="10" s="1"/>
  <c r="G103" i="10" a="1"/>
  <c r="G103" i="10" s="1"/>
  <c r="F103" i="10" a="1"/>
  <c r="F103" i="10" s="1"/>
  <c r="E103" i="10" a="1"/>
  <c r="E103" i="10" s="1"/>
  <c r="D103" i="10" a="1"/>
  <c r="D103" i="10" s="1"/>
  <c r="C103" i="10" a="1"/>
  <c r="C103" i="10" s="1"/>
  <c r="AH102" i="10" a="1"/>
  <c r="AH102" i="10" s="1"/>
  <c r="AG102" i="10" a="1"/>
  <c r="AG102" i="10" s="1"/>
  <c r="AF102" i="10" a="1"/>
  <c r="AF102" i="10" s="1"/>
  <c r="AE102" i="10" a="1"/>
  <c r="AE102" i="10" s="1"/>
  <c r="AD102" i="10" a="1"/>
  <c r="AD102" i="10" s="1"/>
  <c r="AC102" i="10" a="1"/>
  <c r="AC102" i="10" s="1"/>
  <c r="AB102" i="10" a="1"/>
  <c r="AB102" i="10" s="1"/>
  <c r="AA102" i="10" a="1"/>
  <c r="AA102" i="10" s="1"/>
  <c r="Z102" i="10" a="1"/>
  <c r="Z102" i="10" s="1"/>
  <c r="Y102" i="10" a="1"/>
  <c r="Y102" i="10" s="1"/>
  <c r="X102" i="10" a="1"/>
  <c r="X102" i="10" s="1"/>
  <c r="W102" i="10" a="1"/>
  <c r="W102" i="10" s="1"/>
  <c r="V102" i="10" a="1"/>
  <c r="V102" i="10" s="1"/>
  <c r="U102" i="10" a="1"/>
  <c r="U102" i="10" s="1"/>
  <c r="T102" i="10" a="1"/>
  <c r="T102" i="10" s="1"/>
  <c r="S102" i="10" a="1"/>
  <c r="S102" i="10" s="1"/>
  <c r="R102" i="10" a="1"/>
  <c r="R102" i="10" s="1"/>
  <c r="Q102" i="10" a="1"/>
  <c r="Q102" i="10" s="1"/>
  <c r="P102" i="10" a="1"/>
  <c r="P102" i="10" s="1"/>
  <c r="O102" i="10" a="1"/>
  <c r="O102" i="10" s="1"/>
  <c r="N102" i="10" a="1"/>
  <c r="N102" i="10" s="1"/>
  <c r="M102" i="10" a="1"/>
  <c r="M102" i="10" s="1"/>
  <c r="L102" i="10" a="1"/>
  <c r="L102" i="10" s="1"/>
  <c r="J102" i="10" a="1"/>
  <c r="J102" i="10" s="1"/>
  <c r="I102" i="10" a="1"/>
  <c r="I102" i="10" s="1"/>
  <c r="H102" i="10" a="1"/>
  <c r="H102" i="10" s="1"/>
  <c r="G102" i="10" a="1"/>
  <c r="G102" i="10" s="1"/>
  <c r="F102" i="10" a="1"/>
  <c r="F102" i="10" s="1"/>
  <c r="E102" i="10" a="1"/>
  <c r="E102" i="10" s="1"/>
  <c r="D102" i="10" a="1"/>
  <c r="D102" i="10" s="1"/>
  <c r="C102" i="10" a="1"/>
  <c r="C102" i="10" s="1"/>
  <c r="AH101" i="10" a="1"/>
  <c r="AH101" i="10" s="1"/>
  <c r="AG101" i="10" a="1"/>
  <c r="AG101" i="10" s="1"/>
  <c r="AF101" i="10" a="1"/>
  <c r="AF101" i="10" s="1"/>
  <c r="AE101" i="10" a="1"/>
  <c r="AE101" i="10" s="1"/>
  <c r="AD101" i="10" a="1"/>
  <c r="AD101" i="10" s="1"/>
  <c r="AC101" i="10" a="1"/>
  <c r="AC101" i="10" s="1"/>
  <c r="AB101" i="10" a="1"/>
  <c r="AB101" i="10" s="1"/>
  <c r="AA101" i="10" a="1"/>
  <c r="AA101" i="10" s="1"/>
  <c r="Z101" i="10" a="1"/>
  <c r="Z101" i="10" s="1"/>
  <c r="Y101" i="10" a="1"/>
  <c r="Y101" i="10" s="1"/>
  <c r="X101" i="10" a="1"/>
  <c r="X101" i="10" s="1"/>
  <c r="W101" i="10" a="1"/>
  <c r="W101" i="10" s="1"/>
  <c r="V101" i="10" a="1"/>
  <c r="V101" i="10" s="1"/>
  <c r="U101" i="10" a="1"/>
  <c r="U101" i="10" s="1"/>
  <c r="T101" i="10" a="1"/>
  <c r="T101" i="10" s="1"/>
  <c r="S101" i="10" a="1"/>
  <c r="S101" i="10" s="1"/>
  <c r="R101" i="10" a="1"/>
  <c r="R101" i="10" s="1"/>
  <c r="Q101" i="10" a="1"/>
  <c r="Q101" i="10" s="1"/>
  <c r="P101" i="10" a="1"/>
  <c r="P101" i="10" s="1"/>
  <c r="O101" i="10" a="1"/>
  <c r="O101" i="10" s="1"/>
  <c r="N101" i="10" a="1"/>
  <c r="N101" i="10" s="1"/>
  <c r="M101" i="10" a="1"/>
  <c r="M101" i="10" s="1"/>
  <c r="L101" i="10" a="1"/>
  <c r="L101" i="10" s="1"/>
  <c r="K101" i="10" a="1"/>
  <c r="K101" i="10" s="1"/>
  <c r="I101" i="10" a="1"/>
  <c r="I101" i="10" s="1"/>
  <c r="H101" i="10" a="1"/>
  <c r="H101" i="10" s="1"/>
  <c r="G101" i="10" a="1"/>
  <c r="G101" i="10" s="1"/>
  <c r="F101" i="10" a="1"/>
  <c r="F101" i="10" s="1"/>
  <c r="E101" i="10" a="1"/>
  <c r="E101" i="10" s="1"/>
  <c r="D101" i="10" a="1"/>
  <c r="D101" i="10" s="1"/>
  <c r="C101" i="10" a="1"/>
  <c r="C101" i="10" s="1"/>
  <c r="AH100" i="10" a="1"/>
  <c r="AH100" i="10" s="1"/>
  <c r="AG100" i="10" a="1"/>
  <c r="AG100" i="10" s="1"/>
  <c r="AF100" i="10" a="1"/>
  <c r="AF100" i="10" s="1"/>
  <c r="AE100" i="10" a="1"/>
  <c r="AE100" i="10" s="1"/>
  <c r="AD100" i="10" a="1"/>
  <c r="AD100" i="10" s="1"/>
  <c r="AC100" i="10" a="1"/>
  <c r="AC100" i="10" s="1"/>
  <c r="AB100" i="10" a="1"/>
  <c r="AB100" i="10" s="1"/>
  <c r="AA100" i="10" a="1"/>
  <c r="AA100" i="10" s="1"/>
  <c r="Z100" i="10" a="1"/>
  <c r="Z100" i="10" s="1"/>
  <c r="Y100" i="10" a="1"/>
  <c r="Y100" i="10" s="1"/>
  <c r="X100" i="10" a="1"/>
  <c r="X100" i="10" s="1"/>
  <c r="W100" i="10" a="1"/>
  <c r="W100" i="10" s="1"/>
  <c r="V100" i="10" a="1"/>
  <c r="V100" i="10" s="1"/>
  <c r="U100" i="10" a="1"/>
  <c r="U100" i="10" s="1"/>
  <c r="T100" i="10" a="1"/>
  <c r="T100" i="10" s="1"/>
  <c r="S100" i="10" a="1"/>
  <c r="S100" i="10" s="1"/>
  <c r="R100" i="10" a="1"/>
  <c r="R100" i="10" s="1"/>
  <c r="Q100" i="10" a="1"/>
  <c r="Q100" i="10" s="1"/>
  <c r="P100" i="10" a="1"/>
  <c r="P100" i="10" s="1"/>
  <c r="O100" i="10" a="1"/>
  <c r="O100" i="10" s="1"/>
  <c r="N100" i="10" a="1"/>
  <c r="N100" i="10" s="1"/>
  <c r="M100" i="10" a="1"/>
  <c r="M100" i="10" s="1"/>
  <c r="L100" i="10" a="1"/>
  <c r="L100" i="10" s="1"/>
  <c r="K100" i="10" a="1"/>
  <c r="K100" i="10" s="1"/>
  <c r="J100" i="10" a="1"/>
  <c r="J100" i="10" s="1"/>
  <c r="H100" i="10" a="1"/>
  <c r="H100" i="10" s="1"/>
  <c r="G100" i="10" a="1"/>
  <c r="G100" i="10" s="1"/>
  <c r="F100" i="10" a="1"/>
  <c r="F100" i="10" s="1"/>
  <c r="E100" i="10" a="1"/>
  <c r="E100" i="10" s="1"/>
  <c r="D100" i="10" a="1"/>
  <c r="D100" i="10" s="1"/>
  <c r="C100" i="10" a="1"/>
  <c r="C100" i="10" s="1"/>
  <c r="AH99" i="10" a="1"/>
  <c r="AH99" i="10" s="1"/>
  <c r="AG99" i="10" a="1"/>
  <c r="AG99" i="10" s="1"/>
  <c r="AF99" i="10" a="1"/>
  <c r="AF99" i="10" s="1"/>
  <c r="AE99" i="10" a="1"/>
  <c r="AE99" i="10" s="1"/>
  <c r="AD99" i="10" a="1"/>
  <c r="AD99" i="10" s="1"/>
  <c r="AC99" i="10" a="1"/>
  <c r="AC99" i="10" s="1"/>
  <c r="AB99" i="10" a="1"/>
  <c r="AB99" i="10" s="1"/>
  <c r="AA99" i="10" a="1"/>
  <c r="AA99" i="10" s="1"/>
  <c r="Z99" i="10" a="1"/>
  <c r="Z99" i="10" s="1"/>
  <c r="Y99" i="10" a="1"/>
  <c r="Y99" i="10" s="1"/>
  <c r="X99" i="10" a="1"/>
  <c r="X99" i="10" s="1"/>
  <c r="W99" i="10" a="1"/>
  <c r="W99" i="10" s="1"/>
  <c r="V99" i="10" a="1"/>
  <c r="V99" i="10" s="1"/>
  <c r="U99" i="10" a="1"/>
  <c r="U99" i="10" s="1"/>
  <c r="T99" i="10" a="1"/>
  <c r="T99" i="10" s="1"/>
  <c r="S99" i="10" a="1"/>
  <c r="S99" i="10" s="1"/>
  <c r="R99" i="10" a="1"/>
  <c r="R99" i="10" s="1"/>
  <c r="Q99" i="10" a="1"/>
  <c r="Q99" i="10" s="1"/>
  <c r="P99" i="10" a="1"/>
  <c r="P99" i="10" s="1"/>
  <c r="O99" i="10" a="1"/>
  <c r="O99" i="10" s="1"/>
  <c r="N99" i="10" a="1"/>
  <c r="N99" i="10" s="1"/>
  <c r="M99" i="10" a="1"/>
  <c r="M99" i="10" s="1"/>
  <c r="L99" i="10" a="1"/>
  <c r="L99" i="10" s="1"/>
  <c r="K99" i="10" a="1"/>
  <c r="K99" i="10" s="1"/>
  <c r="J99" i="10" a="1"/>
  <c r="J99" i="10" s="1"/>
  <c r="I99" i="10" a="1"/>
  <c r="I99" i="10" s="1"/>
  <c r="G99" i="10" a="1"/>
  <c r="G99" i="10" s="1"/>
  <c r="F99" i="10" a="1"/>
  <c r="F99" i="10" s="1"/>
  <c r="E99" i="10" a="1"/>
  <c r="E99" i="10" s="1"/>
  <c r="D99" i="10" a="1"/>
  <c r="D99" i="10" s="1"/>
  <c r="C99" i="10" a="1"/>
  <c r="C99" i="10" s="1"/>
  <c r="AH98" i="10" a="1"/>
  <c r="AH98" i="10" s="1"/>
  <c r="AG98" i="10" a="1"/>
  <c r="AG98" i="10" s="1"/>
  <c r="AF98" i="10" a="1"/>
  <c r="AF98" i="10" s="1"/>
  <c r="AE98" i="10" a="1"/>
  <c r="AE98" i="10" s="1"/>
  <c r="AD98" i="10" a="1"/>
  <c r="AD98" i="10" s="1"/>
  <c r="AC98" i="10" a="1"/>
  <c r="AC98" i="10" s="1"/>
  <c r="AB98" i="10" a="1"/>
  <c r="AB98" i="10" s="1"/>
  <c r="AA98" i="10" a="1"/>
  <c r="AA98" i="10" s="1"/>
  <c r="Z98" i="10" a="1"/>
  <c r="Z98" i="10" s="1"/>
  <c r="Y98" i="10" a="1"/>
  <c r="Y98" i="10" s="1"/>
  <c r="X98" i="10" a="1"/>
  <c r="X98" i="10" s="1"/>
  <c r="W98" i="10" a="1"/>
  <c r="W98" i="10" s="1"/>
  <c r="V98" i="10" a="1"/>
  <c r="V98" i="10" s="1"/>
  <c r="U98" i="10" a="1"/>
  <c r="U98" i="10" s="1"/>
  <c r="T98" i="10" a="1"/>
  <c r="T98" i="10" s="1"/>
  <c r="S98" i="10" a="1"/>
  <c r="S98" i="10" s="1"/>
  <c r="R98" i="10" a="1"/>
  <c r="R98" i="10" s="1"/>
  <c r="Q98" i="10" a="1"/>
  <c r="Q98" i="10" s="1"/>
  <c r="P98" i="10" a="1"/>
  <c r="P98" i="10" s="1"/>
  <c r="O98" i="10" a="1"/>
  <c r="O98" i="10" s="1"/>
  <c r="N98" i="10" a="1"/>
  <c r="N98" i="10" s="1"/>
  <c r="M98" i="10" a="1"/>
  <c r="M98" i="10" s="1"/>
  <c r="L98" i="10" a="1"/>
  <c r="L98" i="10" s="1"/>
  <c r="K98" i="10" a="1"/>
  <c r="K98" i="10" s="1"/>
  <c r="J98" i="10" a="1"/>
  <c r="J98" i="10" s="1"/>
  <c r="I98" i="10" a="1"/>
  <c r="I98" i="10" s="1"/>
  <c r="H98" i="10" a="1"/>
  <c r="H98" i="10" s="1"/>
  <c r="F98" i="10" a="1"/>
  <c r="F98" i="10" s="1"/>
  <c r="E98" i="10" a="1"/>
  <c r="E98" i="10" s="1"/>
  <c r="D98" i="10" a="1"/>
  <c r="D98" i="10" s="1"/>
  <c r="C98" i="10" a="1"/>
  <c r="C98" i="10" s="1"/>
  <c r="AH97" i="10" a="1"/>
  <c r="AH97" i="10" s="1"/>
  <c r="AG97" i="10" a="1"/>
  <c r="AG97" i="10" s="1"/>
  <c r="AF97" i="10" a="1"/>
  <c r="AF97" i="10" s="1"/>
  <c r="AE97" i="10" a="1"/>
  <c r="AE97" i="10" s="1"/>
  <c r="AD97" i="10" a="1"/>
  <c r="AD97" i="10" s="1"/>
  <c r="AC97" i="10" a="1"/>
  <c r="AC97" i="10" s="1"/>
  <c r="AB97" i="10" a="1"/>
  <c r="AB97" i="10" s="1"/>
  <c r="AA97" i="10" a="1"/>
  <c r="AA97" i="10" s="1"/>
  <c r="Z97" i="10" a="1"/>
  <c r="Z97" i="10" s="1"/>
  <c r="Y97" i="10" a="1"/>
  <c r="Y97" i="10" s="1"/>
  <c r="X97" i="10" a="1"/>
  <c r="X97" i="10" s="1"/>
  <c r="W97" i="10" a="1"/>
  <c r="W97" i="10" s="1"/>
  <c r="V97" i="10" a="1"/>
  <c r="V97" i="10" s="1"/>
  <c r="U97" i="10" a="1"/>
  <c r="U97" i="10" s="1"/>
  <c r="T97" i="10" a="1"/>
  <c r="T97" i="10" s="1"/>
  <c r="S97" i="10" a="1"/>
  <c r="S97" i="10" s="1"/>
  <c r="R97" i="10" a="1"/>
  <c r="R97" i="10" s="1"/>
  <c r="Q97" i="10" a="1"/>
  <c r="Q97" i="10" s="1"/>
  <c r="P97" i="10" a="1"/>
  <c r="P97" i="10" s="1"/>
  <c r="O97" i="10" a="1"/>
  <c r="O97" i="10" s="1"/>
  <c r="N97" i="10" a="1"/>
  <c r="N97" i="10" s="1"/>
  <c r="M97" i="10" a="1"/>
  <c r="M97" i="10" s="1"/>
  <c r="L97" i="10" a="1"/>
  <c r="L97" i="10" s="1"/>
  <c r="K97" i="10" a="1"/>
  <c r="K97" i="10" s="1"/>
  <c r="J97" i="10" a="1"/>
  <c r="J97" i="10" s="1"/>
  <c r="I97" i="10" a="1"/>
  <c r="I97" i="10" s="1"/>
  <c r="H97" i="10" a="1"/>
  <c r="H97" i="10" s="1"/>
  <c r="G97" i="10" a="1"/>
  <c r="G97" i="10" s="1"/>
  <c r="E97" i="10" a="1"/>
  <c r="E97" i="10" s="1"/>
  <c r="D97" i="10" a="1"/>
  <c r="D97" i="10" s="1"/>
  <c r="C97" i="10" a="1"/>
  <c r="C97" i="10" s="1"/>
  <c r="AH96" i="10" a="1"/>
  <c r="AH96" i="10" s="1"/>
  <c r="AG96" i="10" a="1"/>
  <c r="AG96" i="10" s="1"/>
  <c r="AF96" i="10" a="1"/>
  <c r="AF96" i="10" s="1"/>
  <c r="AE96" i="10" a="1"/>
  <c r="AE96" i="10" s="1"/>
  <c r="AD96" i="10" a="1"/>
  <c r="AD96" i="10" s="1"/>
  <c r="AC96" i="10" a="1"/>
  <c r="AC96" i="10" s="1"/>
  <c r="AB96" i="10" a="1"/>
  <c r="AB96" i="10" s="1"/>
  <c r="AA96" i="10" a="1"/>
  <c r="AA96" i="10" s="1"/>
  <c r="Z96" i="10" a="1"/>
  <c r="Z96" i="10" s="1"/>
  <c r="Y96" i="10" a="1"/>
  <c r="Y96" i="10" s="1"/>
  <c r="X96" i="10" a="1"/>
  <c r="X96" i="10" s="1"/>
  <c r="W96" i="10" a="1"/>
  <c r="W96" i="10" s="1"/>
  <c r="V96" i="10" a="1"/>
  <c r="V96" i="10" s="1"/>
  <c r="U96" i="10" a="1"/>
  <c r="U96" i="10" s="1"/>
  <c r="T96" i="10" a="1"/>
  <c r="T96" i="10" s="1"/>
  <c r="S96" i="10" a="1"/>
  <c r="S96" i="10" s="1"/>
  <c r="R96" i="10" a="1"/>
  <c r="R96" i="10" s="1"/>
  <c r="Q96" i="10" a="1"/>
  <c r="Q96" i="10" s="1"/>
  <c r="P96" i="10" a="1"/>
  <c r="P96" i="10" s="1"/>
  <c r="O96" i="10" a="1"/>
  <c r="O96" i="10" s="1"/>
  <c r="N96" i="10" a="1"/>
  <c r="N96" i="10" s="1"/>
  <c r="M96" i="10" a="1"/>
  <c r="M96" i="10" s="1"/>
  <c r="L96" i="10" a="1"/>
  <c r="L96" i="10" s="1"/>
  <c r="K96" i="10" a="1"/>
  <c r="K96" i="10" s="1"/>
  <c r="J96" i="10" a="1"/>
  <c r="J96" i="10" s="1"/>
  <c r="I96" i="10" a="1"/>
  <c r="I96" i="10" s="1"/>
  <c r="H96" i="10" a="1"/>
  <c r="H96" i="10" s="1"/>
  <c r="G96" i="10" a="1"/>
  <c r="G96" i="10" s="1"/>
  <c r="F96" i="10" a="1"/>
  <c r="F96" i="10" s="1"/>
  <c r="C96" i="10" a="1"/>
  <c r="C96" i="10" s="1"/>
  <c r="AH95" i="10" a="1"/>
  <c r="AH95" i="10" s="1"/>
  <c r="AG95" i="10" a="1"/>
  <c r="AG95" i="10" s="1"/>
  <c r="AF95" i="10" a="1"/>
  <c r="AF95" i="10" s="1"/>
  <c r="AE95" i="10" a="1"/>
  <c r="AE95" i="10" s="1"/>
  <c r="AD95" i="10" a="1"/>
  <c r="AD95" i="10" s="1"/>
  <c r="AC95" i="10" a="1"/>
  <c r="AC95" i="10" s="1"/>
  <c r="AB95" i="10" a="1"/>
  <c r="AB95" i="10" s="1"/>
  <c r="AA95" i="10" a="1"/>
  <c r="AA95" i="10" s="1"/>
  <c r="Z95" i="10" a="1"/>
  <c r="Z95" i="10" s="1"/>
  <c r="Y95" i="10" a="1"/>
  <c r="Y95" i="10" s="1"/>
  <c r="X95" i="10" a="1"/>
  <c r="X95" i="10" s="1"/>
  <c r="W95" i="10" a="1"/>
  <c r="W95" i="10" s="1"/>
  <c r="V95" i="10" a="1"/>
  <c r="V95" i="10" s="1"/>
  <c r="U95" i="10" a="1"/>
  <c r="U95" i="10" s="1"/>
  <c r="T95" i="10" a="1"/>
  <c r="T95" i="10" s="1"/>
  <c r="S95" i="10" a="1"/>
  <c r="S95" i="10" s="1"/>
  <c r="R95" i="10" a="1"/>
  <c r="R95" i="10" s="1"/>
  <c r="Q95" i="10" a="1"/>
  <c r="Q95" i="10" s="1"/>
  <c r="P95" i="10" a="1"/>
  <c r="P95" i="10" s="1"/>
  <c r="O95" i="10" a="1"/>
  <c r="O95" i="10" s="1"/>
  <c r="N95" i="10" a="1"/>
  <c r="N95" i="10" s="1"/>
  <c r="M95" i="10" a="1"/>
  <c r="M95" i="10" s="1"/>
  <c r="L95" i="10" a="1"/>
  <c r="L95" i="10" s="1"/>
  <c r="K95" i="10" a="1"/>
  <c r="K95" i="10" s="1"/>
  <c r="J95" i="10" a="1"/>
  <c r="J95" i="10" s="1"/>
  <c r="I95" i="10" a="1"/>
  <c r="I95" i="10" s="1"/>
  <c r="H95" i="10" a="1"/>
  <c r="H95" i="10" s="1"/>
  <c r="G95" i="10" a="1"/>
  <c r="G95" i="10" s="1"/>
  <c r="F95" i="10" a="1"/>
  <c r="F95" i="10" s="1"/>
  <c r="E95" i="10" a="1"/>
  <c r="E95" i="10" s="1"/>
  <c r="C95" i="10" a="1"/>
  <c r="C95" i="10" s="1"/>
  <c r="AH94" i="10" a="1"/>
  <c r="AH94" i="10" s="1"/>
  <c r="AG94" i="10" a="1"/>
  <c r="AG94" i="10" s="1"/>
  <c r="AF94" i="10" a="1"/>
  <c r="AF94" i="10" s="1"/>
  <c r="AE94" i="10" a="1"/>
  <c r="AE94" i="10" s="1"/>
  <c r="AD94" i="10" a="1"/>
  <c r="AD94" i="10" s="1"/>
  <c r="AC94" i="10" a="1"/>
  <c r="AC94" i="10" s="1"/>
  <c r="AB94" i="10" a="1"/>
  <c r="AB94" i="10" s="1"/>
  <c r="AA94" i="10" a="1"/>
  <c r="AA94" i="10" s="1"/>
  <c r="Z94" i="10" a="1"/>
  <c r="Z94" i="10" s="1"/>
  <c r="Y94" i="10" a="1"/>
  <c r="Y94" i="10" s="1"/>
  <c r="X94" i="10" a="1"/>
  <c r="X94" i="10" s="1"/>
  <c r="W94" i="10" a="1"/>
  <c r="W94" i="10" s="1"/>
  <c r="V94" i="10" a="1"/>
  <c r="V94" i="10" s="1"/>
  <c r="U94" i="10" a="1"/>
  <c r="U94" i="10" s="1"/>
  <c r="T94" i="10" a="1"/>
  <c r="T94" i="10" s="1"/>
  <c r="S94" i="10" a="1"/>
  <c r="S94" i="10" s="1"/>
  <c r="R94" i="10" a="1"/>
  <c r="R94" i="10" s="1"/>
  <c r="Q94" i="10" a="1"/>
  <c r="Q94" i="10" s="1"/>
  <c r="P94" i="10" a="1"/>
  <c r="P94" i="10" s="1"/>
  <c r="O94" i="10" a="1"/>
  <c r="O94" i="10" s="1"/>
  <c r="N94" i="10" a="1"/>
  <c r="N94" i="10" s="1"/>
  <c r="M94" i="10" a="1"/>
  <c r="M94" i="10" s="1"/>
  <c r="L94" i="10" a="1"/>
  <c r="L94" i="10" s="1"/>
  <c r="K94" i="10" a="1"/>
  <c r="K94" i="10" s="1"/>
  <c r="J94" i="10" a="1"/>
  <c r="J94" i="10" s="1"/>
  <c r="I94" i="10" a="1"/>
  <c r="I94" i="10" s="1"/>
  <c r="H94" i="10" a="1"/>
  <c r="H94" i="10" s="1"/>
  <c r="G94" i="10" a="1"/>
  <c r="G94" i="10" s="1"/>
  <c r="F94" i="10" a="1"/>
  <c r="F94" i="10" s="1"/>
  <c r="E94" i="10" a="1"/>
  <c r="E94" i="10" s="1"/>
  <c r="D94" i="10" a="1"/>
  <c r="D94" i="10" s="1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1" i="10"/>
  <c r="V21" i="10" s="1"/>
  <c r="W21" i="10" s="1"/>
  <c r="X21" i="10" s="1"/>
  <c r="Y21" i="10" s="1"/>
  <c r="Z21" i="10" s="1"/>
  <c r="AA21" i="10" s="1"/>
  <c r="AB21" i="10" s="1"/>
  <c r="AC21" i="10" s="1"/>
  <c r="AD21" i="10" s="1"/>
  <c r="AE21" i="10" s="1"/>
  <c r="AF21" i="10" s="1"/>
  <c r="AG21" i="10" s="1"/>
  <c r="AH21" i="10" s="1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AH15" i="10"/>
  <c r="AH26" i="10" s="1"/>
  <c r="AH27" i="10" s="1"/>
  <c r="AH28" i="10" s="1"/>
  <c r="AH138" i="10" s="1"/>
  <c r="AG15" i="10"/>
  <c r="AG26" i="10" s="1"/>
  <c r="AG27" i="10" s="1"/>
  <c r="AG28" i="10" s="1"/>
  <c r="AG138" i="10" s="1"/>
  <c r="AF15" i="10"/>
  <c r="AF26" i="10" s="1"/>
  <c r="AF27" i="10" s="1"/>
  <c r="AF28" i="10" s="1"/>
  <c r="AF138" i="10" s="1"/>
  <c r="AE15" i="10"/>
  <c r="AE26" i="10" s="1"/>
  <c r="AE27" i="10" s="1"/>
  <c r="AE28" i="10" s="1"/>
  <c r="AE138" i="10" s="1"/>
  <c r="AD15" i="10"/>
  <c r="AD26" i="10" s="1"/>
  <c r="AD27" i="10" s="1"/>
  <c r="AD28" i="10" s="1"/>
  <c r="AD138" i="10" s="1"/>
  <c r="AC15" i="10"/>
  <c r="AC26" i="10" s="1"/>
  <c r="AC27" i="10" s="1"/>
  <c r="AC28" i="10" s="1"/>
  <c r="AC138" i="10" s="1"/>
  <c r="AB15" i="10"/>
  <c r="AB26" i="10" s="1"/>
  <c r="AB27" i="10" s="1"/>
  <c r="AB28" i="10" s="1"/>
  <c r="AB138" i="10" s="1"/>
  <c r="AA15" i="10"/>
  <c r="AA26" i="10" s="1"/>
  <c r="AA27" i="10" s="1"/>
  <c r="AA28" i="10" s="1"/>
  <c r="AA138" i="10" s="1"/>
  <c r="Z15" i="10"/>
  <c r="Z26" i="10" s="1"/>
  <c r="Z27" i="10" s="1"/>
  <c r="Z28" i="10" s="1"/>
  <c r="Z138" i="10" s="1"/>
  <c r="Y15" i="10"/>
  <c r="Y26" i="10" s="1"/>
  <c r="Y27" i="10" s="1"/>
  <c r="Y28" i="10" s="1"/>
  <c r="Y138" i="10" s="1"/>
  <c r="X15" i="10"/>
  <c r="X26" i="10" s="1"/>
  <c r="X27" i="10" s="1"/>
  <c r="X28" i="10" s="1"/>
  <c r="X138" i="10" s="1"/>
  <c r="W15" i="10"/>
  <c r="W26" i="10" s="1"/>
  <c r="W27" i="10" s="1"/>
  <c r="W28" i="10" s="1"/>
  <c r="W138" i="10" s="1"/>
  <c r="V15" i="10"/>
  <c r="V26" i="10" s="1"/>
  <c r="V27" i="10" s="1"/>
  <c r="V28" i="10" s="1"/>
  <c r="V138" i="10" s="1"/>
  <c r="U15" i="10"/>
  <c r="U26" i="10" s="1"/>
  <c r="U27" i="10" s="1"/>
  <c r="U28" i="10" s="1"/>
  <c r="U138" i="10" s="1"/>
  <c r="T15" i="10"/>
  <c r="T26" i="10" s="1"/>
  <c r="T27" i="10" s="1"/>
  <c r="T28" i="10" s="1"/>
  <c r="T138" i="10" s="1"/>
  <c r="S15" i="10"/>
  <c r="S26" i="10" s="1"/>
  <c r="S27" i="10" s="1"/>
  <c r="S28" i="10" s="1"/>
  <c r="S138" i="10" s="1"/>
  <c r="R15" i="10"/>
  <c r="R26" i="10" s="1"/>
  <c r="R27" i="10" s="1"/>
  <c r="R28" i="10" s="1"/>
  <c r="R138" i="10" s="1"/>
  <c r="Q15" i="10"/>
  <c r="Q26" i="10" s="1"/>
  <c r="Q27" i="10" s="1"/>
  <c r="Q28" i="10" s="1"/>
  <c r="Q138" i="10" s="1"/>
  <c r="P15" i="10"/>
  <c r="P26" i="10" s="1"/>
  <c r="P27" i="10" s="1"/>
  <c r="P28" i="10" s="1"/>
  <c r="P138" i="10" s="1"/>
  <c r="O15" i="10"/>
  <c r="O26" i="10" s="1"/>
  <c r="O27" i="10" s="1"/>
  <c r="O28" i="10" s="1"/>
  <c r="O138" i="10" s="1"/>
  <c r="N15" i="10"/>
  <c r="N26" i="10" s="1"/>
  <c r="N27" i="10" s="1"/>
  <c r="N28" i="10" s="1"/>
  <c r="N138" i="10" s="1"/>
  <c r="M15" i="10"/>
  <c r="M26" i="10" s="1"/>
  <c r="M27" i="10" s="1"/>
  <c r="M28" i="10" s="1"/>
  <c r="M138" i="10" s="1"/>
  <c r="L15" i="10"/>
  <c r="L26" i="10" s="1"/>
  <c r="L27" i="10" s="1"/>
  <c r="L28" i="10" s="1"/>
  <c r="L138" i="10" s="1"/>
  <c r="K15" i="10"/>
  <c r="K26" i="10" s="1"/>
  <c r="K27" i="10" s="1"/>
  <c r="K28" i="10" s="1"/>
  <c r="K138" i="10" s="1"/>
  <c r="J15" i="10"/>
  <c r="J26" i="10" s="1"/>
  <c r="J27" i="10" s="1"/>
  <c r="J28" i="10" s="1"/>
  <c r="J138" i="10" s="1"/>
  <c r="I15" i="10"/>
  <c r="I26" i="10" s="1"/>
  <c r="I27" i="10" s="1"/>
  <c r="I28" i="10" s="1"/>
  <c r="I138" i="10" s="1"/>
  <c r="H15" i="10"/>
  <c r="H26" i="10" s="1"/>
  <c r="H27" i="10" s="1"/>
  <c r="H28" i="10" s="1"/>
  <c r="H138" i="10" s="1"/>
  <c r="G15" i="10"/>
  <c r="G26" i="10" s="1"/>
  <c r="G27" i="10" s="1"/>
  <c r="G28" i="10" s="1"/>
  <c r="G138" i="10" s="1"/>
  <c r="F15" i="10"/>
  <c r="F26" i="10" s="1"/>
  <c r="F27" i="10" s="1"/>
  <c r="F28" i="10" s="1"/>
  <c r="F138" i="10" s="1"/>
  <c r="E15" i="10"/>
  <c r="E26" i="10" s="1"/>
  <c r="E27" i="10" s="1"/>
  <c r="E28" i="10" s="1"/>
  <c r="E138" i="10" s="1"/>
  <c r="D15" i="10"/>
  <c r="D26" i="10" s="1"/>
  <c r="D27" i="10" s="1"/>
  <c r="D28" i="10" s="1"/>
  <c r="D138" i="10" s="1"/>
  <c r="C15" i="10"/>
  <c r="C26" i="10" s="1"/>
  <c r="C27" i="10" s="1"/>
  <c r="C28" i="10" s="1"/>
  <c r="AH8" i="10"/>
  <c r="AH146" i="10" s="1"/>
  <c r="AG8" i="10"/>
  <c r="AG146" i="10" s="1"/>
  <c r="AF8" i="10"/>
  <c r="AF146" i="10" s="1"/>
  <c r="AE8" i="10"/>
  <c r="AE146" i="10" s="1"/>
  <c r="AD8" i="10"/>
  <c r="AD146" i="10" s="1"/>
  <c r="AC8" i="10"/>
  <c r="AC146" i="10" s="1"/>
  <c r="AB8" i="10"/>
  <c r="AB146" i="10" s="1"/>
  <c r="AA8" i="10"/>
  <c r="AA146" i="10" s="1"/>
  <c r="Z8" i="10"/>
  <c r="Z146" i="10" s="1"/>
  <c r="Y8" i="10"/>
  <c r="Y146" i="10" s="1"/>
  <c r="X8" i="10"/>
  <c r="X146" i="10" s="1"/>
  <c r="W8" i="10"/>
  <c r="W146" i="10" s="1"/>
  <c r="V8" i="10"/>
  <c r="V146" i="10" s="1"/>
  <c r="U8" i="10"/>
  <c r="U146" i="10" s="1"/>
  <c r="T8" i="10"/>
  <c r="T146" i="10" s="1"/>
  <c r="S8" i="10"/>
  <c r="S146" i="10" s="1"/>
  <c r="R8" i="10"/>
  <c r="R146" i="10" s="1"/>
  <c r="Q8" i="10"/>
  <c r="Q146" i="10" s="1"/>
  <c r="P8" i="10"/>
  <c r="P146" i="10" s="1"/>
  <c r="O8" i="10"/>
  <c r="O146" i="10" s="1"/>
  <c r="N8" i="10"/>
  <c r="N146" i="10" s="1"/>
  <c r="M8" i="10"/>
  <c r="M146" i="10" s="1"/>
  <c r="L8" i="10"/>
  <c r="L146" i="10" s="1"/>
  <c r="K8" i="10"/>
  <c r="K146" i="10" s="1"/>
  <c r="J8" i="10"/>
  <c r="J146" i="10" s="1"/>
  <c r="I8" i="10"/>
  <c r="I146" i="10" s="1"/>
  <c r="H8" i="10"/>
  <c r="H146" i="10" s="1"/>
  <c r="G8" i="10"/>
  <c r="G146" i="10" s="1"/>
  <c r="F8" i="10"/>
  <c r="F146" i="10" s="1"/>
  <c r="E8" i="10"/>
  <c r="E146" i="10" s="1"/>
  <c r="D8" i="10"/>
  <c r="D146" i="10" s="1"/>
  <c r="C8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E42" i="2"/>
  <c r="C146" i="10" l="1"/>
  <c r="C138" i="10"/>
  <c r="AH125" i="10" a="1"/>
  <c r="AH125" i="10" s="1"/>
  <c r="H7" i="10" a="1"/>
  <c r="H7" i="10" s="1"/>
  <c r="F7" i="10" a="1"/>
  <c r="F7" i="10" s="1"/>
  <c r="J7" i="10" a="1"/>
  <c r="J7" i="10" s="1"/>
  <c r="C7" i="10" a="1"/>
  <c r="C7" i="10" s="1"/>
  <c r="K7" i="10" a="1"/>
  <c r="K7" i="10" s="1"/>
  <c r="G7" i="10" a="1"/>
  <c r="G7" i="10" s="1"/>
  <c r="L7" i="10" a="1"/>
  <c r="L7" i="10" s="1"/>
  <c r="E7" i="10" a="1"/>
  <c r="E7" i="10" s="1"/>
  <c r="I7" i="10" a="1"/>
  <c r="I7" i="10" s="1"/>
  <c r="C131" i="10" l="1"/>
  <c r="M7" i="10" a="1"/>
  <c r="M7" i="10" s="1"/>
  <c r="I100" i="10" l="1" a="1"/>
  <c r="I100" i="10" s="1"/>
  <c r="D95" i="10" a="1"/>
  <c r="D95" i="10" s="1"/>
  <c r="C94" i="10" a="1"/>
  <c r="C94" i="10" s="1"/>
  <c r="N7" i="10" a="1"/>
  <c r="N7" i="10" s="1"/>
  <c r="AI38" i="2"/>
  <c r="C43" i="2"/>
  <c r="AD46" i="2"/>
  <c r="AD45" i="2" a="1"/>
  <c r="AD45" i="2" s="1"/>
  <c r="AJ42" i="2"/>
  <c r="AJ39" i="2"/>
  <c r="AJ38" i="2"/>
  <c r="AJ41" i="2" s="1"/>
  <c r="AI39" i="2"/>
  <c r="AI42" i="2" s="1"/>
  <c r="AI41" i="2"/>
  <c r="N25" i="2"/>
  <c r="M25" i="2"/>
  <c r="L25" i="2"/>
  <c r="K25" i="2"/>
  <c r="J25" i="2"/>
  <c r="I25" i="2"/>
  <c r="H25" i="2"/>
  <c r="G25" i="2"/>
  <c r="F25" i="2"/>
  <c r="E25" i="2"/>
  <c r="D25" i="2"/>
  <c r="C6" i="4"/>
  <c r="C7" i="4"/>
  <c r="C17" i="4"/>
  <c r="AH126" i="10" l="1"/>
  <c r="AI126" i="10" s="1"/>
  <c r="AJ126" i="10" s="1"/>
  <c r="AK126" i="10" s="1"/>
  <c r="AL126" i="10" s="1"/>
  <c r="AM126" i="10" s="1"/>
  <c r="AN126" i="10" s="1"/>
  <c r="AO126" i="10" s="1"/>
  <c r="AP126" i="10" s="1"/>
  <c r="AQ126" i="10" s="1"/>
  <c r="AR126" i="10" s="1"/>
  <c r="AS126" i="10" s="1"/>
  <c r="AT126" i="10" s="1"/>
  <c r="AU126" i="10" s="1"/>
  <c r="AV126" i="10" s="1"/>
  <c r="AW126" i="10" s="1"/>
  <c r="AX126" i="10" s="1"/>
  <c r="AY126" i="10" s="1"/>
  <c r="AZ126" i="10" s="1"/>
  <c r="BA126" i="10" s="1"/>
  <c r="BB126" i="10" s="1"/>
  <c r="O7" i="10" a="1"/>
  <c r="O7" i="10" s="1"/>
  <c r="P7" i="10" s="1" a="1"/>
  <c r="P7" i="10" s="1"/>
  <c r="Q7" i="10" s="1" a="1"/>
  <c r="Q7" i="10" s="1"/>
  <c r="R7" i="10" s="1" a="1"/>
  <c r="R7" i="10" s="1"/>
  <c r="S7" i="10" s="1" a="1"/>
  <c r="S7" i="10" s="1"/>
  <c r="T7" i="10" s="1" a="1"/>
  <c r="T7" i="10" s="1"/>
  <c r="U7" i="10" s="1" a="1"/>
  <c r="U7" i="10" s="1"/>
  <c r="V7" i="10" s="1" a="1"/>
  <c r="V7" i="10" s="1"/>
  <c r="W7" i="10" s="1" a="1"/>
  <c r="W7" i="10" s="1"/>
  <c r="X7" i="10" s="1" a="1"/>
  <c r="X7" i="10" s="1"/>
  <c r="Y7" i="10" s="1" a="1"/>
  <c r="Y7" i="10" s="1"/>
  <c r="Z7" i="10" s="1" a="1"/>
  <c r="Z7" i="10" s="1"/>
  <c r="AA7" i="10" s="1" a="1"/>
  <c r="AA7" i="10" s="1"/>
  <c r="AB7" i="10" s="1" a="1"/>
  <c r="AB7" i="10" s="1"/>
  <c r="AC7" i="10" s="1" a="1"/>
  <c r="AC7" i="10" s="1"/>
  <c r="AD7" i="10" s="1" a="1"/>
  <c r="AD7" i="10" s="1"/>
  <c r="AE7" i="10" s="1" a="1"/>
  <c r="AE7" i="10" s="1"/>
  <c r="AF7" i="10" s="1" a="1"/>
  <c r="AF7" i="10" s="1"/>
  <c r="AG7" i="10" s="1" a="1"/>
  <c r="AG7" i="10" s="1"/>
  <c r="AH7" i="10" s="1" a="1"/>
  <c r="AH7" i="10" s="1"/>
  <c r="AJ43" i="2"/>
  <c r="AI43" i="2"/>
  <c r="C6" i="3"/>
  <c r="G43" i="3" s="1"/>
  <c r="AH137" i="10" l="1"/>
  <c r="AH139" i="10" s="1"/>
  <c r="AJ44" i="2"/>
  <c r="AJ46" i="2" s="1"/>
  <c r="AI44" i="2"/>
  <c r="AI46" i="2" s="1"/>
  <c r="G44" i="3"/>
  <c r="G46" i="3"/>
  <c r="AH145" i="10" l="1"/>
  <c r="AH147" i="10" s="1"/>
  <c r="AH153" i="10" s="1"/>
  <c r="AH32" i="10" s="1"/>
  <c r="D26" i="2"/>
  <c r="F45" i="2" s="1"/>
  <c r="E45" i="2" s="1"/>
  <c r="D45" i="2" s="1"/>
  <c r="C10" i="2"/>
  <c r="AH31" i="10" l="1"/>
  <c r="AH152" i="10"/>
  <c r="AC120" i="10" a="1"/>
  <c r="AC120" i="10" s="1"/>
  <c r="AC126" i="10" s="1"/>
  <c r="P107" i="10" a="1"/>
  <c r="P107" i="10" s="1"/>
  <c r="P126" i="10" s="1"/>
  <c r="V131" i="10"/>
  <c r="Y131" i="10"/>
  <c r="T131" i="10"/>
  <c r="AE131" i="10"/>
  <c r="AF123" i="10" a="1"/>
  <c r="AF123" i="10" s="1"/>
  <c r="AF126" i="10" s="1"/>
  <c r="X115" i="10" a="1"/>
  <c r="X115" i="10" s="1"/>
  <c r="X126" i="10" s="1"/>
  <c r="F131" i="10"/>
  <c r="Z131" i="10"/>
  <c r="I131" i="10"/>
  <c r="D131" i="10"/>
  <c r="AG124" i="10" a="1"/>
  <c r="AG124" i="10" s="1"/>
  <c r="AG126" i="10" s="1"/>
  <c r="O106" i="10" a="1"/>
  <c r="O106" i="10" s="1"/>
  <c r="O126" i="10" s="1"/>
  <c r="V113" i="10" a="1"/>
  <c r="V113" i="10" s="1"/>
  <c r="V126" i="10" s="1"/>
  <c r="K131" i="10"/>
  <c r="AD131" i="10"/>
  <c r="J131" i="10"/>
  <c r="AH131" i="10"/>
  <c r="Y116" i="10" a="1"/>
  <c r="Y116" i="10" s="1"/>
  <c r="Y126" i="10" s="1"/>
  <c r="S110" i="10" a="1"/>
  <c r="S110" i="10" s="1"/>
  <c r="S126" i="10" s="1"/>
  <c r="AA118" i="10" a="1"/>
  <c r="AA118" i="10" s="1"/>
  <c r="AA126" i="10" s="1"/>
  <c r="AA131" i="10"/>
  <c r="N131" i="10"/>
  <c r="AF131" i="10"/>
  <c r="R131" i="10"/>
  <c r="Z117" i="10" a="1"/>
  <c r="Z117" i="10" s="1"/>
  <c r="Z126" i="10" s="1"/>
  <c r="Q108" i="10" a="1"/>
  <c r="Q108" i="10" s="1"/>
  <c r="Q126" i="10" s="1"/>
  <c r="W114" i="10" a="1"/>
  <c r="W114" i="10" s="1"/>
  <c r="W126" i="10" s="1"/>
  <c r="AC131" i="10"/>
  <c r="U131" i="10"/>
  <c r="O131" i="10"/>
  <c r="AB131" i="10"/>
  <c r="AD121" i="10" a="1"/>
  <c r="AD121" i="10" s="1"/>
  <c r="AD126" i="10" s="1"/>
  <c r="AE122" i="10" a="1"/>
  <c r="AE122" i="10" s="1"/>
  <c r="AE126" i="10" s="1"/>
  <c r="W131" i="10"/>
  <c r="S131" i="10"/>
  <c r="M131" i="10"/>
  <c r="G131" i="10"/>
  <c r="X131" i="10"/>
  <c r="H131" i="10"/>
  <c r="U112" i="10" a="1"/>
  <c r="U112" i="10" s="1"/>
  <c r="U126" i="10" s="1"/>
  <c r="R109" i="10" a="1"/>
  <c r="R109" i="10" s="1"/>
  <c r="R126" i="10" s="1"/>
  <c r="L131" i="10"/>
  <c r="P131" i="10"/>
  <c r="E131" i="10"/>
  <c r="T111" i="10" a="1"/>
  <c r="T111" i="10" s="1"/>
  <c r="T126" i="10" s="1"/>
  <c r="AB119" i="10" a="1"/>
  <c r="AB119" i="10" s="1"/>
  <c r="AB126" i="10" s="1"/>
  <c r="AG131" i="10"/>
  <c r="Q131" i="10"/>
  <c r="F97" i="10" a="1"/>
  <c r="F97" i="10" s="1"/>
  <c r="F126" i="10" s="1"/>
  <c r="H99" i="10" a="1"/>
  <c r="H99" i="10" s="1"/>
  <c r="H126" i="10" s="1"/>
  <c r="J101" i="10" a="1"/>
  <c r="J101" i="10" s="1"/>
  <c r="J126" i="10" s="1"/>
  <c r="K102" i="10" a="1"/>
  <c r="K102" i="10" s="1"/>
  <c r="K126" i="10" s="1"/>
  <c r="G98" i="10" a="1"/>
  <c r="G98" i="10" s="1"/>
  <c r="G126" i="10" s="1"/>
  <c r="C126" i="10"/>
  <c r="E96" i="10" a="1"/>
  <c r="E96" i="10" s="1"/>
  <c r="E126" i="10" s="1"/>
  <c r="E137" i="10" s="1"/>
  <c r="E139" i="10" s="1"/>
  <c r="I126" i="10"/>
  <c r="D126" i="10"/>
  <c r="D137" i="10" s="1"/>
  <c r="D139" i="10" s="1"/>
  <c r="N105" i="10" a="1"/>
  <c r="N105" i="10" s="1"/>
  <c r="N126" i="10" s="1"/>
  <c r="M104" i="10" a="1"/>
  <c r="M104" i="10" s="1"/>
  <c r="M126" i="10" s="1"/>
  <c r="L103" i="10" a="1"/>
  <c r="L103" i="10" s="1"/>
  <c r="L126" i="10" s="1"/>
  <c r="N26" i="2"/>
  <c r="AC45" i="2" s="1"/>
  <c r="Y45" i="2" s="1"/>
  <c r="M26" i="2"/>
  <c r="X45" i="2" s="1"/>
  <c r="L26" i="2"/>
  <c r="S45" i="2" s="1"/>
  <c r="Q45" i="2" s="1"/>
  <c r="K26" i="2"/>
  <c r="P45" i="2" s="1"/>
  <c r="J26" i="2"/>
  <c r="N45" i="2" s="1"/>
  <c r="I26" i="2"/>
  <c r="L45" i="2" s="1"/>
  <c r="K45" i="2" s="1"/>
  <c r="H26" i="2"/>
  <c r="J45" i="2" s="1"/>
  <c r="G26" i="2"/>
  <c r="I45" i="2" s="1"/>
  <c r="F26" i="2"/>
  <c r="H45" i="2" s="1"/>
  <c r="E26" i="2"/>
  <c r="G45" i="2" s="1"/>
  <c r="I27" i="2"/>
  <c r="K27" i="2"/>
  <c r="D145" i="10" l="1"/>
  <c r="D147" i="10" s="1"/>
  <c r="D153" i="10" s="1"/>
  <c r="E145" i="10"/>
  <c r="E147" i="10" s="1"/>
  <c r="E153" i="10" s="1"/>
  <c r="C130" i="10"/>
  <c r="C137" i="10"/>
  <c r="C139" i="10" s="1"/>
  <c r="AB137" i="10"/>
  <c r="AB139" i="10" s="1"/>
  <c r="AC137" i="10"/>
  <c r="AC139" i="10" s="1"/>
  <c r="G137" i="10"/>
  <c r="G139" i="10" s="1"/>
  <c r="T137" i="10"/>
  <c r="T139" i="10" s="1"/>
  <c r="X137" i="10"/>
  <c r="X139" i="10" s="1"/>
  <c r="L137" i="10"/>
  <c r="L139" i="10" s="1"/>
  <c r="K137" i="10"/>
  <c r="K139" i="10" s="1"/>
  <c r="V137" i="10"/>
  <c r="V139" i="10" s="1"/>
  <c r="AF137" i="10"/>
  <c r="AF139" i="10" s="1"/>
  <c r="J137" i="10"/>
  <c r="J139" i="10" s="1"/>
  <c r="N137" i="10"/>
  <c r="N139" i="10" s="1"/>
  <c r="H137" i="10"/>
  <c r="H139" i="10" s="1"/>
  <c r="W137" i="10"/>
  <c r="W139" i="10" s="1"/>
  <c r="S137" i="10"/>
  <c r="S139" i="10" s="1"/>
  <c r="AA137" i="10"/>
  <c r="AA139" i="10" s="1"/>
  <c r="F137" i="10"/>
  <c r="F139" i="10" s="1"/>
  <c r="Q137" i="10"/>
  <c r="Q139" i="10" s="1"/>
  <c r="Y137" i="10"/>
  <c r="Y139" i="10" s="1"/>
  <c r="M137" i="10"/>
  <c r="M139" i="10" s="1"/>
  <c r="I137" i="10"/>
  <c r="I139" i="10" s="1"/>
  <c r="R137" i="10"/>
  <c r="R139" i="10" s="1"/>
  <c r="AE137" i="10"/>
  <c r="AE139" i="10" s="1"/>
  <c r="Z137" i="10"/>
  <c r="Z139" i="10" s="1"/>
  <c r="O137" i="10"/>
  <c r="O139" i="10" s="1"/>
  <c r="U137" i="10"/>
  <c r="U139" i="10" s="1"/>
  <c r="AD137" i="10"/>
  <c r="AD139" i="10" s="1"/>
  <c r="P137" i="10"/>
  <c r="P139" i="10" s="1"/>
  <c r="AG137" i="10"/>
  <c r="AG139" i="10" s="1"/>
  <c r="L130" i="10"/>
  <c r="N130" i="10"/>
  <c r="M130" i="10"/>
  <c r="F130" i="10"/>
  <c r="G130" i="10"/>
  <c r="J130" i="10"/>
  <c r="I130" i="10"/>
  <c r="H130" i="10"/>
  <c r="K130" i="10"/>
  <c r="P130" i="10"/>
  <c r="E130" i="10"/>
  <c r="R130" i="10"/>
  <c r="Q130" i="10"/>
  <c r="D130" i="10"/>
  <c r="O130" i="10"/>
  <c r="O45" i="2"/>
  <c r="R45" i="2"/>
  <c r="M45" i="2"/>
  <c r="J27" i="2"/>
  <c r="M27" i="2"/>
  <c r="AA45" i="2"/>
  <c r="AB45" i="2" s="1"/>
  <c r="U45" i="2"/>
  <c r="V45" i="2" s="1"/>
  <c r="W45" i="2" s="1"/>
  <c r="T45" i="2"/>
  <c r="L27" i="2"/>
  <c r="Z45" i="2"/>
  <c r="D27" i="2"/>
  <c r="E27" i="2"/>
  <c r="F27" i="2"/>
  <c r="N27" i="2"/>
  <c r="H27" i="2"/>
  <c r="G27" i="2"/>
  <c r="E31" i="10" l="1"/>
  <c r="D31" i="10"/>
  <c r="AA145" i="10"/>
  <c r="AA147" i="10" s="1"/>
  <c r="R145" i="10"/>
  <c r="R147" i="10" s="1"/>
  <c r="I145" i="10"/>
  <c r="I147" i="10" s="1"/>
  <c r="H145" i="10"/>
  <c r="H147" i="10" s="1"/>
  <c r="H31" i="10" s="1"/>
  <c r="G145" i="10"/>
  <c r="G147" i="10" s="1"/>
  <c r="G31" i="10" s="1"/>
  <c r="O145" i="10"/>
  <c r="O147" i="10" s="1"/>
  <c r="S145" i="10"/>
  <c r="S147" i="10" s="1"/>
  <c r="P145" i="10"/>
  <c r="P147" i="10" s="1"/>
  <c r="AD145" i="10"/>
  <c r="AD147" i="10" s="1"/>
  <c r="K145" i="10"/>
  <c r="K147" i="10" s="1"/>
  <c r="W145" i="10"/>
  <c r="W147" i="10" s="1"/>
  <c r="AE145" i="10"/>
  <c r="AE147" i="10" s="1"/>
  <c r="AE153" i="10" s="1"/>
  <c r="AE32" i="10" s="1"/>
  <c r="AG145" i="10"/>
  <c r="AG147" i="10" s="1"/>
  <c r="AG153" i="10" s="1"/>
  <c r="T145" i="10"/>
  <c r="T147" i="10" s="1"/>
  <c r="T153" i="10" s="1"/>
  <c r="T32" i="10" s="1"/>
  <c r="L145" i="10"/>
  <c r="L147" i="10" s="1"/>
  <c r="L31" i="10" s="1"/>
  <c r="M145" i="10"/>
  <c r="M147" i="10" s="1"/>
  <c r="M153" i="10" s="1"/>
  <c r="M32" i="10" s="1"/>
  <c r="X145" i="10"/>
  <c r="X147" i="10" s="1"/>
  <c r="X31" i="10" s="1"/>
  <c r="Y145" i="10"/>
  <c r="Y147" i="10" s="1"/>
  <c r="Y31" i="10" s="1"/>
  <c r="J145" i="10"/>
  <c r="J147" i="10" s="1"/>
  <c r="J31" i="10" s="1"/>
  <c r="AC145" i="10"/>
  <c r="AC147" i="10" s="1"/>
  <c r="AC31" i="10" s="1"/>
  <c r="U145" i="10"/>
  <c r="U147" i="10" s="1"/>
  <c r="U153" i="10" s="1"/>
  <c r="U32" i="10" s="1"/>
  <c r="Q145" i="10"/>
  <c r="Q147" i="10" s="1"/>
  <c r="Q31" i="10" s="1"/>
  <c r="AF145" i="10"/>
  <c r="AF147" i="10" s="1"/>
  <c r="AF153" i="10" s="1"/>
  <c r="AF32" i="10" s="1"/>
  <c r="AB145" i="10"/>
  <c r="AB147" i="10" s="1"/>
  <c r="AB153" i="10" s="1"/>
  <c r="AB32" i="10" s="1"/>
  <c r="F145" i="10"/>
  <c r="F147" i="10" s="1"/>
  <c r="F153" i="10" s="1"/>
  <c r="F32" i="10" s="1"/>
  <c r="V145" i="10"/>
  <c r="V147" i="10" s="1"/>
  <c r="V153" i="10" s="1"/>
  <c r="V32" i="10" s="1"/>
  <c r="C145" i="10"/>
  <c r="C147" i="10" s="1"/>
  <c r="C31" i="10" s="1"/>
  <c r="N145" i="10"/>
  <c r="N147" i="10" s="1"/>
  <c r="N153" i="10" s="1"/>
  <c r="N32" i="10" s="1"/>
  <c r="Z145" i="10"/>
  <c r="Z147" i="10" s="1"/>
  <c r="Z153" i="10" s="1"/>
  <c r="Z32" i="10" s="1"/>
  <c r="E152" i="10"/>
  <c r="D152" i="10"/>
  <c r="D32" i="10"/>
  <c r="E32" i="10"/>
  <c r="S130" i="10"/>
  <c r="Y153" i="10" l="1"/>
  <c r="Y32" i="10" s="1"/>
  <c r="AC153" i="10"/>
  <c r="AC32" i="10" s="1"/>
  <c r="AC152" i="10"/>
  <c r="X153" i="10"/>
  <c r="X32" i="10" s="1"/>
  <c r="N31" i="10"/>
  <c r="U31" i="10"/>
  <c r="L153" i="10"/>
  <c r="L32" i="10" s="1"/>
  <c r="M31" i="10"/>
  <c r="AG31" i="10"/>
  <c r="J153" i="10"/>
  <c r="J32" i="10" s="1"/>
  <c r="AB152" i="10"/>
  <c r="F31" i="10"/>
  <c r="T31" i="10"/>
  <c r="AE31" i="10"/>
  <c r="AB31" i="10"/>
  <c r="Z31" i="10"/>
  <c r="C153" i="10"/>
  <c r="C32" i="10" s="1"/>
  <c r="Q153" i="10"/>
  <c r="Q32" i="10" s="1"/>
  <c r="AF31" i="10"/>
  <c r="V31" i="10"/>
  <c r="W153" i="10"/>
  <c r="W32" i="10" s="1"/>
  <c r="W31" i="10"/>
  <c r="AA153" i="10"/>
  <c r="AA32" i="10" s="1"/>
  <c r="AA31" i="10"/>
  <c r="S153" i="10"/>
  <c r="S32" i="10" s="1"/>
  <c r="S31" i="10"/>
  <c r="AD153" i="10"/>
  <c r="AD32" i="10" s="1"/>
  <c r="AD31" i="10"/>
  <c r="R153" i="10"/>
  <c r="R32" i="10" s="1"/>
  <c r="R31" i="10"/>
  <c r="I153" i="10"/>
  <c r="I32" i="10" s="1"/>
  <c r="I31" i="10"/>
  <c r="P153" i="10"/>
  <c r="P32" i="10" s="1"/>
  <c r="P31" i="10"/>
  <c r="O153" i="10"/>
  <c r="O32" i="10" s="1"/>
  <c r="O31" i="10"/>
  <c r="K153" i="10"/>
  <c r="K32" i="10" s="1"/>
  <c r="K31" i="10"/>
  <c r="V152" i="10"/>
  <c r="X152" i="10"/>
  <c r="H153" i="10"/>
  <c r="H32" i="10" s="1"/>
  <c r="G153" i="10"/>
  <c r="G32" i="10" s="1"/>
  <c r="M152" i="10"/>
  <c r="K152" i="10"/>
  <c r="P152" i="10"/>
  <c r="F152" i="10"/>
  <c r="AE152" i="10"/>
  <c r="AA152" i="10"/>
  <c r="G152" i="10"/>
  <c r="W152" i="10"/>
  <c r="H152" i="10"/>
  <c r="I152" i="10"/>
  <c r="AG152" i="10"/>
  <c r="U152" i="10"/>
  <c r="T152" i="10"/>
  <c r="C152" i="10"/>
  <c r="Y152" i="10"/>
  <c r="J152" i="10"/>
  <c r="O152" i="10"/>
  <c r="Q152" i="10"/>
  <c r="N152" i="10"/>
  <c r="L152" i="10"/>
  <c r="AF152" i="10"/>
  <c r="Z152" i="10"/>
  <c r="S152" i="10"/>
  <c r="AD152" i="10"/>
  <c r="R152" i="10"/>
  <c r="AG32" i="10"/>
  <c r="T130" i="10"/>
  <c r="U130" i="10"/>
  <c r="W130" i="10" l="1"/>
  <c r="V130" i="10"/>
  <c r="F20" i="3"/>
  <c r="F21" i="3" s="1"/>
  <c r="F43" i="3"/>
  <c r="H17" i="4" l="1"/>
  <c r="X130" i="10" l="1"/>
  <c r="Y130" i="10"/>
  <c r="Z130" i="10" l="1"/>
  <c r="AH39" i="2"/>
  <c r="AH42" i="2" s="1"/>
  <c r="AG39" i="2"/>
  <c r="AG42" i="2" s="1"/>
  <c r="AF39" i="2"/>
  <c r="AF42" i="2" s="1"/>
  <c r="AE39" i="2"/>
  <c r="AE42" i="2" s="1"/>
  <c r="AD39" i="2"/>
  <c r="AD42" i="2" s="1"/>
  <c r="AC39" i="2"/>
  <c r="AC42" i="2" s="1"/>
  <c r="AB39" i="2"/>
  <c r="AB42" i="2" s="1"/>
  <c r="AA39" i="2"/>
  <c r="AA42" i="2" s="1"/>
  <c r="Z39" i="2"/>
  <c r="Z42" i="2" s="1"/>
  <c r="Y39" i="2"/>
  <c r="Y42" i="2" s="1"/>
  <c r="X39" i="2"/>
  <c r="X42" i="2" s="1"/>
  <c r="W39" i="2"/>
  <c r="W42" i="2" s="1"/>
  <c r="V39" i="2"/>
  <c r="V42" i="2" s="1"/>
  <c r="U39" i="2"/>
  <c r="U42" i="2" s="1"/>
  <c r="T39" i="2"/>
  <c r="T42" i="2" s="1"/>
  <c r="S39" i="2"/>
  <c r="S42" i="2" s="1"/>
  <c r="R39" i="2"/>
  <c r="R42" i="2" s="1"/>
  <c r="Q39" i="2"/>
  <c r="Q42" i="2" s="1"/>
  <c r="P39" i="2"/>
  <c r="P42" i="2" s="1"/>
  <c r="O39" i="2"/>
  <c r="O42" i="2" s="1"/>
  <c r="N39" i="2"/>
  <c r="N42" i="2" s="1"/>
  <c r="M39" i="2"/>
  <c r="M42" i="2" s="1"/>
  <c r="L39" i="2"/>
  <c r="L42" i="2" s="1"/>
  <c r="K39" i="2"/>
  <c r="K42" i="2" s="1"/>
  <c r="J39" i="2"/>
  <c r="J42" i="2" s="1"/>
  <c r="I39" i="2"/>
  <c r="I42" i="2" s="1"/>
  <c r="H39" i="2"/>
  <c r="H42" i="2" s="1"/>
  <c r="G39" i="2"/>
  <c r="G42" i="2" s="1"/>
  <c r="F39" i="2"/>
  <c r="F42" i="2" s="1"/>
  <c r="E39" i="2"/>
  <c r="D39" i="2"/>
  <c r="D42" i="2" s="1"/>
  <c r="C39" i="2"/>
  <c r="C42" i="2" s="1"/>
  <c r="AH38" i="2"/>
  <c r="AH41" i="2" s="1"/>
  <c r="AG38" i="2"/>
  <c r="AG41" i="2" s="1"/>
  <c r="AF38" i="2"/>
  <c r="AF41" i="2" s="1"/>
  <c r="AE38" i="2"/>
  <c r="AE41" i="2" s="1"/>
  <c r="AD38" i="2"/>
  <c r="AD41" i="2" s="1"/>
  <c r="AC38" i="2"/>
  <c r="AC41" i="2" s="1"/>
  <c r="AB38" i="2"/>
  <c r="AB41" i="2" s="1"/>
  <c r="AA38" i="2"/>
  <c r="AA41" i="2" s="1"/>
  <c r="Z38" i="2"/>
  <c r="Z41" i="2" s="1"/>
  <c r="Y38" i="2"/>
  <c r="Y41" i="2" s="1"/>
  <c r="X38" i="2"/>
  <c r="X41" i="2" s="1"/>
  <c r="W38" i="2"/>
  <c r="W41" i="2" s="1"/>
  <c r="V38" i="2"/>
  <c r="V41" i="2" s="1"/>
  <c r="U38" i="2"/>
  <c r="U41" i="2" s="1"/>
  <c r="T38" i="2"/>
  <c r="T41" i="2" s="1"/>
  <c r="S38" i="2"/>
  <c r="S41" i="2" s="1"/>
  <c r="R38" i="2"/>
  <c r="R41" i="2" s="1"/>
  <c r="Q38" i="2"/>
  <c r="Q41" i="2" s="1"/>
  <c r="P38" i="2"/>
  <c r="P41" i="2" s="1"/>
  <c r="O38" i="2"/>
  <c r="O41" i="2" s="1"/>
  <c r="N38" i="2"/>
  <c r="N41" i="2" s="1"/>
  <c r="M38" i="2"/>
  <c r="M41" i="2" s="1"/>
  <c r="L38" i="2"/>
  <c r="L41" i="2" s="1"/>
  <c r="K38" i="2"/>
  <c r="K41" i="2" s="1"/>
  <c r="J38" i="2"/>
  <c r="J41" i="2" s="1"/>
  <c r="I38" i="2"/>
  <c r="I41" i="2" s="1"/>
  <c r="H38" i="2"/>
  <c r="H41" i="2" s="1"/>
  <c r="G38" i="2"/>
  <c r="G41" i="2" s="1"/>
  <c r="F38" i="2"/>
  <c r="F41" i="2" s="1"/>
  <c r="E38" i="2"/>
  <c r="E41" i="2" s="1"/>
  <c r="D38" i="2"/>
  <c r="D41" i="2" s="1"/>
  <c r="C38" i="2"/>
  <c r="C41" i="2" s="1"/>
  <c r="C5" i="2" l="1"/>
  <c r="AB130" i="10" l="1"/>
  <c r="AA130" i="10"/>
  <c r="AC130" i="10" l="1"/>
  <c r="C45" i="2"/>
  <c r="AD130" i="10" l="1"/>
  <c r="H34" i="4"/>
  <c r="AE130" i="10" l="1"/>
  <c r="H7" i="4"/>
  <c r="H6" i="4"/>
  <c r="AF130" i="10" l="1"/>
  <c r="B42" i="2"/>
  <c r="AG130" i="10" l="1"/>
  <c r="C44" i="2"/>
  <c r="C46" i="2" s="1"/>
  <c r="X43" i="2"/>
  <c r="AF43" i="2"/>
  <c r="K43" i="2"/>
  <c r="S43" i="2"/>
  <c r="AA43" i="2"/>
  <c r="D43" i="2"/>
  <c r="E6" i="3" s="1"/>
  <c r="H43" i="2"/>
  <c r="L43" i="2"/>
  <c r="T43" i="2"/>
  <c r="AB43" i="2"/>
  <c r="E43" i="2"/>
  <c r="I43" i="2"/>
  <c r="M43" i="2"/>
  <c r="Q43" i="2"/>
  <c r="U43" i="2"/>
  <c r="Y43" i="2"/>
  <c r="AC43" i="2"/>
  <c r="AG43" i="2"/>
  <c r="F43" i="2"/>
  <c r="N43" i="2"/>
  <c r="V43" i="2"/>
  <c r="AD43" i="2"/>
  <c r="P43" i="2"/>
  <c r="J43" i="2"/>
  <c r="R43" i="2"/>
  <c r="Z43" i="2"/>
  <c r="AH43" i="2"/>
  <c r="O43" i="2"/>
  <c r="W43" i="2"/>
  <c r="AE43" i="2"/>
  <c r="G43" i="2"/>
  <c r="AH130" i="10" l="1"/>
  <c r="F44" i="2"/>
  <c r="D44" i="2"/>
  <c r="AC44" i="2"/>
  <c r="AB44" i="2"/>
  <c r="AG44" i="2"/>
  <c r="T44" i="2"/>
  <c r="O44" i="2"/>
  <c r="AD44" i="2"/>
  <c r="L44" i="2"/>
  <c r="S44" i="2"/>
  <c r="AF44" i="2"/>
  <c r="R44" i="2"/>
  <c r="I44" i="2"/>
  <c r="G44" i="2"/>
  <c r="AH44" i="2"/>
  <c r="W44" i="2"/>
  <c r="J44" i="2"/>
  <c r="N44" i="2"/>
  <c r="Y44" i="2"/>
  <c r="Q44" i="2"/>
  <c r="AE44" i="2"/>
  <c r="Z44" i="2"/>
  <c r="P44" i="2"/>
  <c r="V44" i="2"/>
  <c r="U44" i="2"/>
  <c r="M44" i="2"/>
  <c r="E44" i="2"/>
  <c r="H44" i="2"/>
  <c r="AA44" i="2"/>
  <c r="K44" i="2"/>
  <c r="X44" i="2"/>
  <c r="C191" i="4"/>
  <c r="D196" i="4" s="1"/>
  <c r="C190" i="4"/>
  <c r="C189" i="4"/>
  <c r="U189" i="4" s="1"/>
  <c r="C188" i="4"/>
  <c r="C187" i="4"/>
  <c r="AK188" i="4" s="1"/>
  <c r="C155" i="4"/>
  <c r="C154" i="4"/>
  <c r="C156" i="4" s="1"/>
  <c r="D153" i="4" s="1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C150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C128" i="4"/>
  <c r="C118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C43" i="4"/>
  <c r="C42" i="4"/>
  <c r="C41" i="4"/>
  <c r="C39" i="4"/>
  <c r="C35" i="4"/>
  <c r="C34" i="4"/>
  <c r="C33" i="4"/>
  <c r="C32" i="4"/>
  <c r="C31" i="4"/>
  <c r="C30" i="4"/>
  <c r="H25" i="4"/>
  <c r="C24" i="4"/>
  <c r="C23" i="4"/>
  <c r="C21" i="4"/>
  <c r="C18" i="4"/>
  <c r="H15" i="4"/>
  <c r="H13" i="4"/>
  <c r="P9" i="4"/>
  <c r="H10" i="4"/>
  <c r="E308" i="3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272" i="3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236" i="3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199" i="3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163" i="3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27" i="3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92" i="3"/>
  <c r="D26" i="3"/>
  <c r="D21" i="3"/>
  <c r="H8" i="4"/>
  <c r="AO188" i="4" l="1"/>
  <c r="AJ190" i="4"/>
  <c r="P11" i="4"/>
  <c r="C186" i="4" s="1"/>
  <c r="AM82" i="4"/>
  <c r="AE82" i="4"/>
  <c r="Z82" i="4"/>
  <c r="Z54" i="4" s="1"/>
  <c r="AL82" i="4"/>
  <c r="AL54" i="4" s="1"/>
  <c r="AD82" i="4"/>
  <c r="AD54" i="4" s="1"/>
  <c r="AA82" i="4"/>
  <c r="AA54" i="4" s="1"/>
  <c r="AP82" i="4"/>
  <c r="AP54" i="4" s="1"/>
  <c r="AO82" i="4"/>
  <c r="X82" i="4"/>
  <c r="AK82" i="4"/>
  <c r="AC82" i="4"/>
  <c r="AC54" i="4" s="1"/>
  <c r="Y82" i="4"/>
  <c r="Y54" i="4" s="1"/>
  <c r="AJ82" i="4"/>
  <c r="AJ54" i="4" s="1"/>
  <c r="AB82" i="4"/>
  <c r="AI82" i="4"/>
  <c r="AG82" i="4"/>
  <c r="AF82" i="4"/>
  <c r="AQ82" i="4"/>
  <c r="AN82" i="4"/>
  <c r="AN54" i="4" s="1"/>
  <c r="AH82" i="4"/>
  <c r="AH54" i="4" s="1"/>
  <c r="V188" i="4"/>
  <c r="D46" i="2"/>
  <c r="AC46" i="2"/>
  <c r="N46" i="2"/>
  <c r="H46" i="2"/>
  <c r="J46" i="2"/>
  <c r="AQ188" i="4"/>
  <c r="X188" i="4"/>
  <c r="AJ189" i="4"/>
  <c r="AC189" i="4"/>
  <c r="F188" i="4"/>
  <c r="Y188" i="4"/>
  <c r="E189" i="4"/>
  <c r="AK189" i="4"/>
  <c r="K191" i="4"/>
  <c r="H188" i="4"/>
  <c r="AD188" i="4"/>
  <c r="G189" i="4"/>
  <c r="AQ190" i="4"/>
  <c r="S191" i="4"/>
  <c r="I188" i="4"/>
  <c r="AF188" i="4"/>
  <c r="H189" i="4"/>
  <c r="D190" i="4"/>
  <c r="AA191" i="4"/>
  <c r="N188" i="4"/>
  <c r="AG188" i="4"/>
  <c r="M189" i="4"/>
  <c r="L190" i="4"/>
  <c r="AI191" i="4"/>
  <c r="P188" i="4"/>
  <c r="AL188" i="4"/>
  <c r="O189" i="4"/>
  <c r="T190" i="4"/>
  <c r="AQ191" i="4"/>
  <c r="Q188" i="4"/>
  <c r="AN188" i="4"/>
  <c r="P189" i="4"/>
  <c r="AB190" i="4"/>
  <c r="P10" i="4"/>
  <c r="E93" i="3"/>
  <c r="C22" i="4"/>
  <c r="D73" i="4" s="1"/>
  <c r="D86" i="4" s="1"/>
  <c r="D58" i="4" s="1"/>
  <c r="E94" i="3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AL129" i="4"/>
  <c r="AD129" i="4"/>
  <c r="AK129" i="4"/>
  <c r="AC129" i="4"/>
  <c r="U129" i="4"/>
  <c r="M129" i="4"/>
  <c r="E129" i="4"/>
  <c r="AJ129" i="4"/>
  <c r="AP129" i="4"/>
  <c r="AH129" i="4"/>
  <c r="Z129" i="4"/>
  <c r="R129" i="4"/>
  <c r="J129" i="4"/>
  <c r="AE129" i="4"/>
  <c r="S129" i="4"/>
  <c r="H129" i="4"/>
  <c r="AQ129" i="4"/>
  <c r="AB129" i="4"/>
  <c r="Q129" i="4"/>
  <c r="G129" i="4"/>
  <c r="AO129" i="4"/>
  <c r="AA129" i="4"/>
  <c r="P129" i="4"/>
  <c r="F129" i="4"/>
  <c r="AN129" i="4"/>
  <c r="Y129" i="4"/>
  <c r="O129" i="4"/>
  <c r="D129" i="4"/>
  <c r="D101" i="4" s="1"/>
  <c r="AM129" i="4"/>
  <c r="X129" i="4"/>
  <c r="N129" i="4"/>
  <c r="AI129" i="4"/>
  <c r="W129" i="4"/>
  <c r="L129" i="4"/>
  <c r="AG129" i="4"/>
  <c r="V129" i="4"/>
  <c r="K129" i="4"/>
  <c r="AF129" i="4"/>
  <c r="T129" i="4"/>
  <c r="I129" i="4"/>
  <c r="AK59" i="4"/>
  <c r="AC59" i="4"/>
  <c r="U59" i="4"/>
  <c r="M59" i="4"/>
  <c r="E59" i="4"/>
  <c r="AJ59" i="4"/>
  <c r="AB59" i="4"/>
  <c r="T59" i="4"/>
  <c r="L59" i="4"/>
  <c r="D59" i="4"/>
  <c r="AQ59" i="4"/>
  <c r="AI59" i="4"/>
  <c r="AA59" i="4"/>
  <c r="S59" i="4"/>
  <c r="K59" i="4"/>
  <c r="AP59" i="4"/>
  <c r="AH59" i="4"/>
  <c r="Z59" i="4"/>
  <c r="R59" i="4"/>
  <c r="J59" i="4"/>
  <c r="AO59" i="4"/>
  <c r="AG59" i="4"/>
  <c r="Y59" i="4"/>
  <c r="Q59" i="4"/>
  <c r="I59" i="4"/>
  <c r="AN59" i="4"/>
  <c r="AF59" i="4"/>
  <c r="X59" i="4"/>
  <c r="P59" i="4"/>
  <c r="H59" i="4"/>
  <c r="AM59" i="4"/>
  <c r="AE59" i="4"/>
  <c r="W59" i="4"/>
  <c r="O59" i="4"/>
  <c r="G59" i="4"/>
  <c r="AL59" i="4"/>
  <c r="AD59" i="4"/>
  <c r="V59" i="4"/>
  <c r="N59" i="4"/>
  <c r="F59" i="4"/>
  <c r="AE187" i="4"/>
  <c r="I187" i="4"/>
  <c r="Z187" i="4"/>
  <c r="G187" i="4"/>
  <c r="Y187" i="4"/>
  <c r="AP187" i="4"/>
  <c r="W187" i="4"/>
  <c r="AO187" i="4"/>
  <c r="R187" i="4"/>
  <c r="AM187" i="4"/>
  <c r="Q187" i="4"/>
  <c r="AH187" i="4"/>
  <c r="O187" i="4"/>
  <c r="AG187" i="4"/>
  <c r="J187" i="4"/>
  <c r="AO178" i="4"/>
  <c r="AG178" i="4"/>
  <c r="Y178" i="4"/>
  <c r="Q178" i="4"/>
  <c r="I178" i="4"/>
  <c r="AN178" i="4"/>
  <c r="AF178" i="4"/>
  <c r="X178" i="4"/>
  <c r="X49" i="4" s="1"/>
  <c r="P178" i="4"/>
  <c r="H178" i="4"/>
  <c r="AM178" i="4"/>
  <c r="AE178" i="4"/>
  <c r="W178" i="4"/>
  <c r="O178" i="4"/>
  <c r="G178" i="4"/>
  <c r="AL178" i="4"/>
  <c r="AD178" i="4"/>
  <c r="V178" i="4"/>
  <c r="N178" i="4"/>
  <c r="F178" i="4"/>
  <c r="AQ178" i="4"/>
  <c r="AI178" i="4"/>
  <c r="AA178" i="4"/>
  <c r="S178" i="4"/>
  <c r="K178" i="4"/>
  <c r="AB178" i="4"/>
  <c r="E178" i="4"/>
  <c r="Z178" i="4"/>
  <c r="D178" i="4"/>
  <c r="U178" i="4"/>
  <c r="AP178" i="4"/>
  <c r="T178" i="4"/>
  <c r="AK178" i="4"/>
  <c r="R178" i="4"/>
  <c r="AJ178" i="4"/>
  <c r="M178" i="4"/>
  <c r="AH178" i="4"/>
  <c r="L178" i="4"/>
  <c r="AN122" i="4"/>
  <c r="AF122" i="4"/>
  <c r="X122" i="4"/>
  <c r="P122" i="4"/>
  <c r="H122" i="4"/>
  <c r="AP113" i="4"/>
  <c r="AH113" i="4"/>
  <c r="AC178" i="4"/>
  <c r="AM122" i="4"/>
  <c r="AE122" i="4"/>
  <c r="W122" i="4"/>
  <c r="O122" i="4"/>
  <c r="G122" i="4"/>
  <c r="AO113" i="4"/>
  <c r="AG113" i="4"/>
  <c r="J178" i="4"/>
  <c r="AL122" i="4"/>
  <c r="AD122" i="4"/>
  <c r="V122" i="4"/>
  <c r="N122" i="4"/>
  <c r="F122" i="4"/>
  <c r="AK122" i="4"/>
  <c r="AC122" i="4"/>
  <c r="U122" i="4"/>
  <c r="M122" i="4"/>
  <c r="E122" i="4"/>
  <c r="AJ122" i="4"/>
  <c r="AB122" i="4"/>
  <c r="T122" i="4"/>
  <c r="L122" i="4"/>
  <c r="D122" i="4"/>
  <c r="AL113" i="4"/>
  <c r="AD113" i="4"/>
  <c r="AQ122" i="4"/>
  <c r="AI122" i="4"/>
  <c r="AA122" i="4"/>
  <c r="S122" i="4"/>
  <c r="K122" i="4"/>
  <c r="AK113" i="4"/>
  <c r="AC113" i="4"/>
  <c r="AP122" i="4"/>
  <c r="AH122" i="4"/>
  <c r="Z122" i="4"/>
  <c r="R122" i="4"/>
  <c r="J122" i="4"/>
  <c r="AG122" i="4"/>
  <c r="AF113" i="4"/>
  <c r="V113" i="4"/>
  <c r="N113" i="4"/>
  <c r="F113" i="4"/>
  <c r="Y122" i="4"/>
  <c r="AE113" i="4"/>
  <c r="U113" i="4"/>
  <c r="M113" i="4"/>
  <c r="E113" i="4"/>
  <c r="Q122" i="4"/>
  <c r="AB113" i="4"/>
  <c r="T113" i="4"/>
  <c r="L113" i="4"/>
  <c r="D113" i="4"/>
  <c r="I122" i="4"/>
  <c r="AQ113" i="4"/>
  <c r="AA113" i="4"/>
  <c r="S113" i="4"/>
  <c r="K113" i="4"/>
  <c r="AN113" i="4"/>
  <c r="Z113" i="4"/>
  <c r="R113" i="4"/>
  <c r="J113" i="4"/>
  <c r="AJ113" i="4"/>
  <c r="X113" i="4"/>
  <c r="P113" i="4"/>
  <c r="H113" i="4"/>
  <c r="AO122" i="4"/>
  <c r="AI113" i="4"/>
  <c r="W113" i="4"/>
  <c r="O113" i="4"/>
  <c r="G113" i="4"/>
  <c r="AM113" i="4"/>
  <c r="Y113" i="4"/>
  <c r="I113" i="4"/>
  <c r="Q113" i="4"/>
  <c r="AJ88" i="4"/>
  <c r="AB88" i="4"/>
  <c r="AJ86" i="4"/>
  <c r="AJ58" i="4" s="1"/>
  <c r="AB86" i="4"/>
  <c r="AB58" i="4" s="1"/>
  <c r="AJ84" i="4"/>
  <c r="AJ56" i="4" s="1"/>
  <c r="AB84" i="4"/>
  <c r="AB56" i="4" s="1"/>
  <c r="AB54" i="4"/>
  <c r="AJ81" i="4"/>
  <c r="AJ53" i="4" s="1"/>
  <c r="AB81" i="4"/>
  <c r="AB53" i="4" s="1"/>
  <c r="D81" i="4"/>
  <c r="D53" i="4" s="1"/>
  <c r="AJ80" i="4"/>
  <c r="AB80" i="4"/>
  <c r="AJ76" i="4"/>
  <c r="AQ88" i="4"/>
  <c r="AI88" i="4"/>
  <c r="AA88" i="4"/>
  <c r="AQ86" i="4"/>
  <c r="AQ58" i="4" s="1"/>
  <c r="AI86" i="4"/>
  <c r="AI58" i="4" s="1"/>
  <c r="AA86" i="4"/>
  <c r="AA58" i="4" s="1"/>
  <c r="AQ84" i="4"/>
  <c r="AQ56" i="4" s="1"/>
  <c r="AI84" i="4"/>
  <c r="AI56" i="4" s="1"/>
  <c r="AA84" i="4"/>
  <c r="AA56" i="4" s="1"/>
  <c r="AQ54" i="4"/>
  <c r="AI54" i="4"/>
  <c r="AQ81" i="4"/>
  <c r="AQ53" i="4" s="1"/>
  <c r="AI81" i="4"/>
  <c r="AI53" i="4" s="1"/>
  <c r="AA81" i="4"/>
  <c r="AA53" i="4" s="1"/>
  <c r="AQ80" i="4"/>
  <c r="AI80" i="4"/>
  <c r="AA80" i="4"/>
  <c r="AQ76" i="4"/>
  <c r="AI76" i="4"/>
  <c r="AP88" i="4"/>
  <c r="AH88" i="4"/>
  <c r="Z88" i="4"/>
  <c r="AP86" i="4"/>
  <c r="AP58" i="4" s="1"/>
  <c r="AH86" i="4"/>
  <c r="AH58" i="4" s="1"/>
  <c r="Z86" i="4"/>
  <c r="Z58" i="4" s="1"/>
  <c r="AP84" i="4"/>
  <c r="AP56" i="4" s="1"/>
  <c r="AH84" i="4"/>
  <c r="AH56" i="4" s="1"/>
  <c r="Z84" i="4"/>
  <c r="Z56" i="4" s="1"/>
  <c r="AP81" i="4"/>
  <c r="AP53" i="4" s="1"/>
  <c r="AH81" i="4"/>
  <c r="AH53" i="4" s="1"/>
  <c r="Z81" i="4"/>
  <c r="Z53" i="4" s="1"/>
  <c r="AP80" i="4"/>
  <c r="AH80" i="4"/>
  <c r="Z80" i="4"/>
  <c r="AP76" i="4"/>
  <c r="AH76" i="4"/>
  <c r="AO88" i="4"/>
  <c r="AG88" i="4"/>
  <c r="Y88" i="4"/>
  <c r="AO86" i="4"/>
  <c r="AO58" i="4" s="1"/>
  <c r="AG86" i="4"/>
  <c r="AG58" i="4" s="1"/>
  <c r="Y86" i="4"/>
  <c r="Y58" i="4" s="1"/>
  <c r="AO84" i="4"/>
  <c r="AO56" i="4" s="1"/>
  <c r="AG84" i="4"/>
  <c r="AG56" i="4" s="1"/>
  <c r="Y84" i="4"/>
  <c r="Y56" i="4" s="1"/>
  <c r="AO54" i="4"/>
  <c r="AG54" i="4"/>
  <c r="AO81" i="4"/>
  <c r="AO53" i="4" s="1"/>
  <c r="AG81" i="4"/>
  <c r="AG53" i="4" s="1"/>
  <c r="Y81" i="4"/>
  <c r="Y53" i="4" s="1"/>
  <c r="AO80" i="4"/>
  <c r="AG80" i="4"/>
  <c r="Y80" i="4"/>
  <c r="AO76" i="4"/>
  <c r="AG76" i="4"/>
  <c r="Y76" i="4"/>
  <c r="AN88" i="4"/>
  <c r="AF88" i="4"/>
  <c r="X88" i="4"/>
  <c r="AN86" i="4"/>
  <c r="AN58" i="4" s="1"/>
  <c r="AF86" i="4"/>
  <c r="AF58" i="4" s="1"/>
  <c r="X86" i="4"/>
  <c r="X58" i="4" s="1"/>
  <c r="AN84" i="4"/>
  <c r="AN56" i="4" s="1"/>
  <c r="AF84" i="4"/>
  <c r="AF56" i="4" s="1"/>
  <c r="X84" i="4"/>
  <c r="X56" i="4" s="1"/>
  <c r="AF54" i="4"/>
  <c r="X54" i="4"/>
  <c r="AN81" i="4"/>
  <c r="AN53" i="4" s="1"/>
  <c r="AF81" i="4"/>
  <c r="AF53" i="4" s="1"/>
  <c r="X81" i="4"/>
  <c r="X53" i="4" s="1"/>
  <c r="AN80" i="4"/>
  <c r="AF80" i="4"/>
  <c r="X80" i="4"/>
  <c r="AN76" i="4"/>
  <c r="AL88" i="4"/>
  <c r="AD88" i="4"/>
  <c r="AL86" i="4"/>
  <c r="AL58" i="4" s="1"/>
  <c r="AD86" i="4"/>
  <c r="AD58" i="4" s="1"/>
  <c r="AL84" i="4"/>
  <c r="AL56" i="4" s="1"/>
  <c r="AD84" i="4"/>
  <c r="AD56" i="4" s="1"/>
  <c r="AL81" i="4"/>
  <c r="AL53" i="4" s="1"/>
  <c r="AD81" i="4"/>
  <c r="AD53" i="4" s="1"/>
  <c r="AL80" i="4"/>
  <c r="AD80" i="4"/>
  <c r="AK88" i="4"/>
  <c r="AC88" i="4"/>
  <c r="AK86" i="4"/>
  <c r="AK58" i="4" s="1"/>
  <c r="AC86" i="4"/>
  <c r="AC58" i="4" s="1"/>
  <c r="AK84" i="4"/>
  <c r="AK56" i="4" s="1"/>
  <c r="AC84" i="4"/>
  <c r="AC56" i="4" s="1"/>
  <c r="AK54" i="4"/>
  <c r="AK81" i="4"/>
  <c r="AK53" i="4" s="1"/>
  <c r="AC81" i="4"/>
  <c r="AC53" i="4" s="1"/>
  <c r="E81" i="4"/>
  <c r="E53" i="4" s="1"/>
  <c r="AK80" i="4"/>
  <c r="AC80" i="4"/>
  <c r="AE84" i="4"/>
  <c r="AE56" i="4" s="1"/>
  <c r="AE76" i="4"/>
  <c r="AL74" i="4"/>
  <c r="AD74" i="4"/>
  <c r="AL73" i="4"/>
  <c r="AL85" i="4" s="1"/>
  <c r="AL57" i="4" s="1"/>
  <c r="AD73" i="4"/>
  <c r="AD85" i="4" s="1"/>
  <c r="AD57" i="4" s="1"/>
  <c r="AM54" i="4"/>
  <c r="AD76" i="4"/>
  <c r="AK74" i="4"/>
  <c r="AC74" i="4"/>
  <c r="AK73" i="4"/>
  <c r="AK85" i="4" s="1"/>
  <c r="AK57" i="4" s="1"/>
  <c r="AC73" i="4"/>
  <c r="AC85" i="4" s="1"/>
  <c r="AC57" i="4" s="1"/>
  <c r="AE54" i="4"/>
  <c r="AC76" i="4"/>
  <c r="AJ74" i="4"/>
  <c r="AB74" i="4"/>
  <c r="D74" i="4"/>
  <c r="E74" i="4" s="1"/>
  <c r="F74" i="4" s="1"/>
  <c r="G74" i="4" s="1"/>
  <c r="H74" i="4" s="1"/>
  <c r="I74" i="4" s="1"/>
  <c r="J74" i="4" s="1"/>
  <c r="K74" i="4" s="1"/>
  <c r="L74" i="4" s="1"/>
  <c r="M74" i="4" s="1"/>
  <c r="N74" i="4" s="1"/>
  <c r="O74" i="4" s="1"/>
  <c r="P74" i="4" s="1"/>
  <c r="Q74" i="4" s="1"/>
  <c r="R74" i="4" s="1"/>
  <c r="S74" i="4" s="1"/>
  <c r="T74" i="4" s="1"/>
  <c r="U74" i="4" s="1"/>
  <c r="V74" i="4" s="1"/>
  <c r="W74" i="4" s="1"/>
  <c r="AJ73" i="4"/>
  <c r="AB73" i="4"/>
  <c r="AB85" i="4" s="1"/>
  <c r="AB57" i="4" s="1"/>
  <c r="AM88" i="4"/>
  <c r="AM80" i="4"/>
  <c r="AB76" i="4"/>
  <c r="AQ74" i="4"/>
  <c r="AI74" i="4"/>
  <c r="AA74" i="4"/>
  <c r="AQ73" i="4"/>
  <c r="AQ85" i="4" s="1"/>
  <c r="AQ57" i="4" s="1"/>
  <c r="AI73" i="4"/>
  <c r="AI85" i="4" s="1"/>
  <c r="AI57" i="4" s="1"/>
  <c r="AA73" i="4"/>
  <c r="AA85" i="4" s="1"/>
  <c r="AA57" i="4" s="1"/>
  <c r="AE88" i="4"/>
  <c r="AE80" i="4"/>
  <c r="AM76" i="4"/>
  <c r="AA76" i="4"/>
  <c r="AP74" i="4"/>
  <c r="AH74" i="4"/>
  <c r="Z74" i="4"/>
  <c r="AP73" i="4"/>
  <c r="AP85" i="4" s="1"/>
  <c r="AP57" i="4" s="1"/>
  <c r="AH73" i="4"/>
  <c r="AH85" i="4" s="1"/>
  <c r="AH57" i="4" s="1"/>
  <c r="Z73" i="4"/>
  <c r="AM86" i="4"/>
  <c r="AM58" i="4" s="1"/>
  <c r="AL76" i="4"/>
  <c r="Z76" i="4"/>
  <c r="AO74" i="4"/>
  <c r="AG74" i="4"/>
  <c r="Y74" i="4"/>
  <c r="AO73" i="4"/>
  <c r="AG73" i="4"/>
  <c r="AG85" i="4" s="1"/>
  <c r="AG57" i="4" s="1"/>
  <c r="Y73" i="4"/>
  <c r="Y85" i="4" s="1"/>
  <c r="Y57" i="4" s="1"/>
  <c r="AE86" i="4"/>
  <c r="AE58" i="4" s="1"/>
  <c r="AM81" i="4"/>
  <c r="AM53" i="4" s="1"/>
  <c r="AK76" i="4"/>
  <c r="X76" i="4"/>
  <c r="AN74" i="4"/>
  <c r="AF74" i="4"/>
  <c r="X74" i="4"/>
  <c r="AN73" i="4"/>
  <c r="AN85" i="4" s="1"/>
  <c r="AN57" i="4" s="1"/>
  <c r="AF73" i="4"/>
  <c r="X73" i="4"/>
  <c r="X85" i="4" s="1"/>
  <c r="X57" i="4" s="1"/>
  <c r="AM84" i="4"/>
  <c r="AM56" i="4" s="1"/>
  <c r="AE81" i="4"/>
  <c r="AE53" i="4" s="1"/>
  <c r="AF76" i="4"/>
  <c r="AM74" i="4"/>
  <c r="AE74" i="4"/>
  <c r="AM73" i="4"/>
  <c r="AM85" i="4" s="1"/>
  <c r="AM57" i="4" s="1"/>
  <c r="AE73" i="4"/>
  <c r="AE85" i="4" s="1"/>
  <c r="AE57" i="4" s="1"/>
  <c r="AQ198" i="4"/>
  <c r="AI198" i="4"/>
  <c r="AA198" i="4"/>
  <c r="S198" i="4"/>
  <c r="K198" i="4"/>
  <c r="AP198" i="4"/>
  <c r="AH198" i="4"/>
  <c r="Z198" i="4"/>
  <c r="R198" i="4"/>
  <c r="J198" i="4"/>
  <c r="AO198" i="4"/>
  <c r="AG198" i="4"/>
  <c r="Y198" i="4"/>
  <c r="Q198" i="4"/>
  <c r="I198" i="4"/>
  <c r="AN198" i="4"/>
  <c r="AF198" i="4"/>
  <c r="X198" i="4"/>
  <c r="P198" i="4"/>
  <c r="H198" i="4"/>
  <c r="AM198" i="4"/>
  <c r="AE198" i="4"/>
  <c r="W198" i="4"/>
  <c r="O198" i="4"/>
  <c r="G198" i="4"/>
  <c r="AL198" i="4"/>
  <c r="AD198" i="4"/>
  <c r="V198" i="4"/>
  <c r="N198" i="4"/>
  <c r="F198" i="4"/>
  <c r="AK198" i="4"/>
  <c r="AC198" i="4"/>
  <c r="U198" i="4"/>
  <c r="M198" i="4"/>
  <c r="E198" i="4"/>
  <c r="AJ198" i="4"/>
  <c r="C185" i="4"/>
  <c r="W186" i="4" s="1"/>
  <c r="AB198" i="4"/>
  <c r="T198" i="4"/>
  <c r="L198" i="4"/>
  <c r="D198" i="4"/>
  <c r="AK141" i="4"/>
  <c r="AC141" i="4"/>
  <c r="AK139" i="4"/>
  <c r="AC139" i="4"/>
  <c r="AJ141" i="4"/>
  <c r="AB141" i="4"/>
  <c r="AJ139" i="4"/>
  <c r="AB139" i="4"/>
  <c r="AQ141" i="4"/>
  <c r="AI141" i="4"/>
  <c r="AA141" i="4"/>
  <c r="AQ139" i="4"/>
  <c r="AI139" i="4"/>
  <c r="AA139" i="4"/>
  <c r="AP141" i="4"/>
  <c r="AH141" i="4"/>
  <c r="Z141" i="4"/>
  <c r="AP139" i="4"/>
  <c r="AH139" i="4"/>
  <c r="Z139" i="4"/>
  <c r="AO141" i="4"/>
  <c r="AG141" i="4"/>
  <c r="Y141" i="4"/>
  <c r="AO139" i="4"/>
  <c r="AG139" i="4"/>
  <c r="Y139" i="4"/>
  <c r="AF141" i="4"/>
  <c r="AD139" i="4"/>
  <c r="AE141" i="4"/>
  <c r="X139" i="4"/>
  <c r="AD141" i="4"/>
  <c r="W139" i="4"/>
  <c r="X141" i="4"/>
  <c r="AN139" i="4"/>
  <c r="V139" i="4"/>
  <c r="W141" i="4"/>
  <c r="AM139" i="4"/>
  <c r="AN141" i="4"/>
  <c r="V141" i="4"/>
  <c r="AL139" i="4"/>
  <c r="AM141" i="4"/>
  <c r="AF139" i="4"/>
  <c r="AL141" i="4"/>
  <c r="AE139" i="4"/>
  <c r="AP95" i="4"/>
  <c r="AH95" i="4"/>
  <c r="Z95" i="4"/>
  <c r="R95" i="4"/>
  <c r="J95" i="4"/>
  <c r="AP94" i="4"/>
  <c r="AH94" i="4"/>
  <c r="Z94" i="4"/>
  <c r="AP93" i="4"/>
  <c r="AO95" i="4"/>
  <c r="AG95" i="4"/>
  <c r="Y95" i="4"/>
  <c r="Q95" i="4"/>
  <c r="I95" i="4"/>
  <c r="AO94" i="4"/>
  <c r="AG94" i="4"/>
  <c r="Y94" i="4"/>
  <c r="AO93" i="4"/>
  <c r="AG93" i="4"/>
  <c r="Y93" i="4"/>
  <c r="AN95" i="4"/>
  <c r="AF95" i="4"/>
  <c r="X95" i="4"/>
  <c r="P95" i="4"/>
  <c r="H95" i="4"/>
  <c r="AN94" i="4"/>
  <c r="AF94" i="4"/>
  <c r="X94" i="4"/>
  <c r="AN93" i="4"/>
  <c r="AF93" i="4"/>
  <c r="X93" i="4"/>
  <c r="AL95" i="4"/>
  <c r="AD95" i="4"/>
  <c r="V95" i="4"/>
  <c r="N95" i="4"/>
  <c r="F95" i="4"/>
  <c r="AL94" i="4"/>
  <c r="AD94" i="4"/>
  <c r="V94" i="4"/>
  <c r="AL93" i="4"/>
  <c r="AD93" i="4"/>
  <c r="V93" i="4"/>
  <c r="AQ95" i="4"/>
  <c r="AI95" i="4"/>
  <c r="AA95" i="4"/>
  <c r="S95" i="4"/>
  <c r="K95" i="4"/>
  <c r="AQ94" i="4"/>
  <c r="AI94" i="4"/>
  <c r="AA94" i="4"/>
  <c r="AQ93" i="4"/>
  <c r="AI93" i="4"/>
  <c r="AA93" i="4"/>
  <c r="AJ95" i="4"/>
  <c r="M95" i="4"/>
  <c r="AE94" i="4"/>
  <c r="AE93" i="4"/>
  <c r="AE95" i="4"/>
  <c r="L95" i="4"/>
  <c r="AC94" i="4"/>
  <c r="AC93" i="4"/>
  <c r="AC95" i="4"/>
  <c r="G95" i="4"/>
  <c r="AB94" i="4"/>
  <c r="AB93" i="4"/>
  <c r="AB95" i="4"/>
  <c r="E95" i="4"/>
  <c r="W94" i="4"/>
  <c r="Z93" i="4"/>
  <c r="W95" i="4"/>
  <c r="D95" i="4"/>
  <c r="AM93" i="4"/>
  <c r="W93" i="4"/>
  <c r="AM95" i="4"/>
  <c r="T95" i="4"/>
  <c r="AK94" i="4"/>
  <c r="AJ93" i="4"/>
  <c r="AK95" i="4"/>
  <c r="O95" i="4"/>
  <c r="AJ94" i="4"/>
  <c r="AH93" i="4"/>
  <c r="AK93" i="4"/>
  <c r="U95" i="4"/>
  <c r="AM94" i="4"/>
  <c r="AJ85" i="4"/>
  <c r="AJ57" i="4" s="1"/>
  <c r="AP191" i="4"/>
  <c r="AH191" i="4"/>
  <c r="Z191" i="4"/>
  <c r="R191" i="4"/>
  <c r="J191" i="4"/>
  <c r="AO191" i="4"/>
  <c r="AG191" i="4"/>
  <c r="Y191" i="4"/>
  <c r="Q191" i="4"/>
  <c r="I191" i="4"/>
  <c r="AN191" i="4"/>
  <c r="AF191" i="4"/>
  <c r="X191" i="4"/>
  <c r="P191" i="4"/>
  <c r="H191" i="4"/>
  <c r="AM191" i="4"/>
  <c r="AE191" i="4"/>
  <c r="W191" i="4"/>
  <c r="O191" i="4"/>
  <c r="G191" i="4"/>
  <c r="AL191" i="4"/>
  <c r="AD191" i="4"/>
  <c r="V191" i="4"/>
  <c r="N191" i="4"/>
  <c r="F191" i="4"/>
  <c r="AK191" i="4"/>
  <c r="AC191" i="4"/>
  <c r="U191" i="4"/>
  <c r="M191" i="4"/>
  <c r="E191" i="4"/>
  <c r="AJ191" i="4"/>
  <c r="AB191" i="4"/>
  <c r="T191" i="4"/>
  <c r="L191" i="4"/>
  <c r="D191" i="4"/>
  <c r="H187" i="4"/>
  <c r="P187" i="4"/>
  <c r="X187" i="4"/>
  <c r="AF187" i="4"/>
  <c r="AN187" i="4"/>
  <c r="G188" i="4"/>
  <c r="O188" i="4"/>
  <c r="W188" i="4"/>
  <c r="AE188" i="4"/>
  <c r="AM188" i="4"/>
  <c r="F189" i="4"/>
  <c r="N189" i="4"/>
  <c r="V189" i="4"/>
  <c r="AD189" i="4"/>
  <c r="AL189" i="4"/>
  <c r="E190" i="4"/>
  <c r="M190" i="4"/>
  <c r="U190" i="4"/>
  <c r="AC190" i="4"/>
  <c r="AK190" i="4"/>
  <c r="W189" i="4"/>
  <c r="AE189" i="4"/>
  <c r="AM189" i="4"/>
  <c r="F190" i="4"/>
  <c r="N190" i="4"/>
  <c r="V190" i="4"/>
  <c r="AD190" i="4"/>
  <c r="AL190" i="4"/>
  <c r="X189" i="4"/>
  <c r="AF189" i="4"/>
  <c r="AN189" i="4"/>
  <c r="G190" i="4"/>
  <c r="O190" i="4"/>
  <c r="W190" i="4"/>
  <c r="AE190" i="4"/>
  <c r="AM190" i="4"/>
  <c r="K187" i="4"/>
  <c r="S187" i="4"/>
  <c r="AA187" i="4"/>
  <c r="AI187" i="4"/>
  <c r="AQ187" i="4"/>
  <c r="J188" i="4"/>
  <c r="R188" i="4"/>
  <c r="Z188" i="4"/>
  <c r="AH188" i="4"/>
  <c r="AP188" i="4"/>
  <c r="I189" i="4"/>
  <c r="Q189" i="4"/>
  <c r="Y189" i="4"/>
  <c r="AG189" i="4"/>
  <c r="AO189" i="4"/>
  <c r="H190" i="4"/>
  <c r="P190" i="4"/>
  <c r="X190" i="4"/>
  <c r="AF190" i="4"/>
  <c r="AN190" i="4"/>
  <c r="D187" i="4"/>
  <c r="L187" i="4"/>
  <c r="T187" i="4"/>
  <c r="AB187" i="4"/>
  <c r="AJ187" i="4"/>
  <c r="K188" i="4"/>
  <c r="S188" i="4"/>
  <c r="AA188" i="4"/>
  <c r="AI188" i="4"/>
  <c r="J189" i="4"/>
  <c r="R189" i="4"/>
  <c r="Z189" i="4"/>
  <c r="AH189" i="4"/>
  <c r="AP189" i="4"/>
  <c r="I190" i="4"/>
  <c r="Q190" i="4"/>
  <c r="Y190" i="4"/>
  <c r="AG190" i="4"/>
  <c r="AO190" i="4"/>
  <c r="E187" i="4"/>
  <c r="M187" i="4"/>
  <c r="U187" i="4"/>
  <c r="AC187" i="4"/>
  <c r="AK187" i="4"/>
  <c r="D188" i="4"/>
  <c r="L188" i="4"/>
  <c r="T188" i="4"/>
  <c r="AB188" i="4"/>
  <c r="AJ188" i="4"/>
  <c r="K189" i="4"/>
  <c r="S189" i="4"/>
  <c r="AA189" i="4"/>
  <c r="AI189" i="4"/>
  <c r="AQ189" i="4"/>
  <c r="J190" i="4"/>
  <c r="R190" i="4"/>
  <c r="Z190" i="4"/>
  <c r="AH190" i="4"/>
  <c r="AP190" i="4"/>
  <c r="F187" i="4"/>
  <c r="N187" i="4"/>
  <c r="V187" i="4"/>
  <c r="AD187" i="4"/>
  <c r="AL187" i="4"/>
  <c r="E188" i="4"/>
  <c r="M188" i="4"/>
  <c r="U188" i="4"/>
  <c r="AC188" i="4"/>
  <c r="D189" i="4"/>
  <c r="L189" i="4"/>
  <c r="T189" i="4"/>
  <c r="AB189" i="4"/>
  <c r="K190" i="4"/>
  <c r="S190" i="4"/>
  <c r="AA190" i="4"/>
  <c r="AI190" i="4"/>
  <c r="AA49" i="4" l="1"/>
  <c r="AF49" i="4"/>
  <c r="AK49" i="4"/>
  <c r="AO49" i="4"/>
  <c r="L46" i="2"/>
  <c r="I46" i="2"/>
  <c r="K46" i="2"/>
  <c r="O46" i="2"/>
  <c r="F186" i="4"/>
  <c r="K186" i="4"/>
  <c r="AD186" i="4"/>
  <c r="AP186" i="4"/>
  <c r="AE186" i="4"/>
  <c r="AI186" i="4"/>
  <c r="X186" i="4"/>
  <c r="Y186" i="4"/>
  <c r="T186" i="4"/>
  <c r="R186" i="4"/>
  <c r="E186" i="4"/>
  <c r="AH49" i="4"/>
  <c r="AQ49" i="4"/>
  <c r="W49" i="4"/>
  <c r="Z49" i="4"/>
  <c r="AE49" i="4"/>
  <c r="AC49" i="4"/>
  <c r="AI49" i="4"/>
  <c r="AN49" i="4"/>
  <c r="V49" i="4"/>
  <c r="AG49" i="4"/>
  <c r="D84" i="4"/>
  <c r="D56" i="4" s="1"/>
  <c r="AK52" i="4"/>
  <c r="AJ155" i="4"/>
  <c r="AJ154" i="4"/>
  <c r="E155" i="4"/>
  <c r="E154" i="4"/>
  <c r="AA155" i="4"/>
  <c r="AA154" i="4"/>
  <c r="AP125" i="4"/>
  <c r="AP116" i="4"/>
  <c r="AJ52" i="4"/>
  <c r="AJ49" i="4"/>
  <c r="AM49" i="4"/>
  <c r="Y49" i="4"/>
  <c r="AD155" i="4"/>
  <c r="AD154" i="4"/>
  <c r="T101" i="4"/>
  <c r="E101" i="4"/>
  <c r="AN52" i="4"/>
  <c r="Z155" i="4"/>
  <c r="Z154" i="4"/>
  <c r="P101" i="4"/>
  <c r="AB125" i="4"/>
  <c r="AB116" i="4"/>
  <c r="AQ125" i="4"/>
  <c r="AQ116" i="4"/>
  <c r="AP147" i="4"/>
  <c r="AP137" i="4"/>
  <c r="AO77" i="4"/>
  <c r="AO78" i="4" s="1"/>
  <c r="AO68" i="4"/>
  <c r="AO85" i="4"/>
  <c r="AO57" i="4" s="1"/>
  <c r="Z77" i="4"/>
  <c r="Z78" i="4" s="1"/>
  <c r="Z68" i="4"/>
  <c r="Z85" i="4"/>
  <c r="Z57" i="4" s="1"/>
  <c r="D85" i="4"/>
  <c r="D57" i="4" s="1"/>
  <c r="E73" i="4"/>
  <c r="AB137" i="4"/>
  <c r="AB147" i="4"/>
  <c r="S101" i="4"/>
  <c r="AG52" i="4"/>
  <c r="AM125" i="4"/>
  <c r="AM116" i="4"/>
  <c r="X147" i="4"/>
  <c r="X137" i="4"/>
  <c r="AF77" i="4"/>
  <c r="AF78" i="4" s="1"/>
  <c r="AF68" i="4"/>
  <c r="AF85" i="4"/>
  <c r="AF57" i="4" s="1"/>
  <c r="AI52" i="4"/>
  <c r="AL49" i="4"/>
  <c r="L101" i="4"/>
  <c r="Y101" i="4"/>
  <c r="AB101" i="4"/>
  <c r="AH101" i="4"/>
  <c r="AD101" i="4"/>
  <c r="AN154" i="4"/>
  <c r="AN155" i="4"/>
  <c r="AF147" i="4"/>
  <c r="AF137" i="4"/>
  <c r="AK77" i="4"/>
  <c r="AK78" i="4" s="1"/>
  <c r="AK68" i="4"/>
  <c r="AA147" i="4"/>
  <c r="AA137" i="4"/>
  <c r="AD52" i="4"/>
  <c r="N101" i="4"/>
  <c r="I155" i="4"/>
  <c r="I154" i="4"/>
  <c r="W154" i="4"/>
  <c r="W155" i="4"/>
  <c r="Y116" i="4"/>
  <c r="Y125" i="4"/>
  <c r="V137" i="4"/>
  <c r="V147" i="4"/>
  <c r="AH52" i="4"/>
  <c r="T154" i="4"/>
  <c r="T155" i="4"/>
  <c r="L155" i="4"/>
  <c r="L154" i="4"/>
  <c r="X116" i="4"/>
  <c r="X125" i="4"/>
  <c r="H154" i="4"/>
  <c r="H155" i="4"/>
  <c r="AG116" i="4"/>
  <c r="AG125" i="4"/>
  <c r="Q154" i="4"/>
  <c r="Q155" i="4"/>
  <c r="AE147" i="4"/>
  <c r="AE137" i="4"/>
  <c r="AN147" i="4"/>
  <c r="AN137" i="4"/>
  <c r="Y147" i="4"/>
  <c r="Y137" i="4"/>
  <c r="AJ137" i="4"/>
  <c r="AJ147" i="4"/>
  <c r="AH77" i="4"/>
  <c r="AH78" i="4" s="1"/>
  <c r="AH68" i="4"/>
  <c r="AA77" i="4"/>
  <c r="AA78" i="4" s="1"/>
  <c r="AA68" i="4"/>
  <c r="AH186" i="4"/>
  <c r="AN186" i="4"/>
  <c r="AQ186" i="4"/>
  <c r="AG186" i="4"/>
  <c r="M186" i="4"/>
  <c r="AL186" i="4"/>
  <c r="AF101" i="4"/>
  <c r="X101" i="4"/>
  <c r="AA101" i="4"/>
  <c r="AE101" i="4"/>
  <c r="M101" i="4"/>
  <c r="AP49" i="4"/>
  <c r="AK125" i="4"/>
  <c r="AK116" i="4"/>
  <c r="O155" i="4"/>
  <c r="O154" i="4"/>
  <c r="AM154" i="4"/>
  <c r="AM155" i="4"/>
  <c r="Z125" i="4"/>
  <c r="Z116" i="4"/>
  <c r="AE154" i="4"/>
  <c r="AE155" i="4"/>
  <c r="V125" i="4"/>
  <c r="V116" i="4"/>
  <c r="F155" i="4"/>
  <c r="F154" i="4"/>
  <c r="AF116" i="4"/>
  <c r="AF125" i="4"/>
  <c r="P155" i="4"/>
  <c r="P154" i="4"/>
  <c r="AO116" i="4"/>
  <c r="AO125" i="4"/>
  <c r="Y155" i="4"/>
  <c r="Y154" i="4"/>
  <c r="AL137" i="4"/>
  <c r="AL147" i="4"/>
  <c r="AG147" i="4"/>
  <c r="AG137" i="4"/>
  <c r="AE77" i="4"/>
  <c r="AE78" i="4" s="1"/>
  <c r="AE68" i="4"/>
  <c r="AP77" i="4"/>
  <c r="AP78" i="4" s="1"/>
  <c r="AP68" i="4"/>
  <c r="AI77" i="4"/>
  <c r="AI78" i="4" s="1"/>
  <c r="AI68" i="4"/>
  <c r="J186" i="4"/>
  <c r="AO186" i="4"/>
  <c r="U186" i="4"/>
  <c r="G186" i="4"/>
  <c r="K101" i="4"/>
  <c r="AM101" i="4"/>
  <c r="AO101" i="4"/>
  <c r="J101" i="4"/>
  <c r="U101" i="4"/>
  <c r="AK155" i="4"/>
  <c r="AK154" i="4"/>
  <c r="G155" i="4"/>
  <c r="G154" i="4"/>
  <c r="AA125" i="4"/>
  <c r="AA116" i="4"/>
  <c r="K155" i="4"/>
  <c r="K154" i="4"/>
  <c r="AD125" i="4"/>
  <c r="AD116" i="4"/>
  <c r="N155" i="4"/>
  <c r="N154" i="4"/>
  <c r="AN116" i="4"/>
  <c r="AN125" i="4"/>
  <c r="X154" i="4"/>
  <c r="X155" i="4"/>
  <c r="AG155" i="4"/>
  <c r="AG154" i="4"/>
  <c r="J155" i="4"/>
  <c r="J154" i="4"/>
  <c r="AO147" i="4"/>
  <c r="AO137" i="4"/>
  <c r="Z147" i="4"/>
  <c r="Z137" i="4"/>
  <c r="AC137" i="4"/>
  <c r="AC147" i="4"/>
  <c r="AM77" i="4"/>
  <c r="AM78" i="4" s="1"/>
  <c r="AM68" i="4"/>
  <c r="AQ77" i="4"/>
  <c r="AQ78" i="4" s="1"/>
  <c r="AQ68" i="4"/>
  <c r="AB77" i="4"/>
  <c r="AB78" i="4" s="1"/>
  <c r="AB68" i="4"/>
  <c r="X52" i="4"/>
  <c r="AF186" i="4"/>
  <c r="D186" i="4"/>
  <c r="AC186" i="4"/>
  <c r="O186" i="4"/>
  <c r="V101" i="4"/>
  <c r="G101" i="4"/>
  <c r="R101" i="4"/>
  <c r="AC101" i="4"/>
  <c r="W125" i="4"/>
  <c r="W116" i="4"/>
  <c r="AC154" i="4"/>
  <c r="AC155" i="4"/>
  <c r="AE125" i="4"/>
  <c r="AE116" i="4"/>
  <c r="AI125" i="4"/>
  <c r="AI116" i="4"/>
  <c r="S154" i="4"/>
  <c r="S155" i="4"/>
  <c r="AL125" i="4"/>
  <c r="AL116" i="4"/>
  <c r="V155" i="4"/>
  <c r="V154" i="4"/>
  <c r="AF154" i="4"/>
  <c r="AF155" i="4"/>
  <c r="AO155" i="4"/>
  <c r="AO154" i="4"/>
  <c r="R155" i="4"/>
  <c r="R154" i="4"/>
  <c r="W147" i="4"/>
  <c r="W137" i="4"/>
  <c r="AD137" i="4"/>
  <c r="AD147" i="4"/>
  <c r="AH147" i="4"/>
  <c r="AH137" i="4"/>
  <c r="AK137" i="4"/>
  <c r="AK147" i="4"/>
  <c r="X77" i="4"/>
  <c r="X78" i="4" s="1"/>
  <c r="X68" i="4"/>
  <c r="AE52" i="4"/>
  <c r="AM52" i="4"/>
  <c r="AJ77" i="4"/>
  <c r="AJ78" i="4" s="1"/>
  <c r="AJ68" i="4"/>
  <c r="AC77" i="4"/>
  <c r="AC78" i="4" s="1"/>
  <c r="AC68" i="4"/>
  <c r="AF52" i="4"/>
  <c r="Y52" i="4"/>
  <c r="Z52" i="4"/>
  <c r="AA52" i="4"/>
  <c r="AB52" i="4"/>
  <c r="P186" i="4"/>
  <c r="S186" i="4"/>
  <c r="Z186" i="4"/>
  <c r="L186" i="4"/>
  <c r="AK186" i="4"/>
  <c r="AG101" i="4"/>
  <c r="O101" i="4"/>
  <c r="Q101" i="4"/>
  <c r="Z101" i="4"/>
  <c r="AK101" i="4"/>
  <c r="AJ125" i="4"/>
  <c r="AJ116" i="4"/>
  <c r="AB154" i="4"/>
  <c r="AB155" i="4"/>
  <c r="AC125" i="4"/>
  <c r="AC116" i="4"/>
  <c r="AI155" i="4"/>
  <c r="AI154" i="4"/>
  <c r="AL155" i="4"/>
  <c r="AL154" i="4"/>
  <c r="AH155" i="4"/>
  <c r="AH154" i="4"/>
  <c r="AM147" i="4"/>
  <c r="AM137" i="4"/>
  <c r="AI147" i="4"/>
  <c r="AI137" i="4"/>
  <c r="AN185" i="4"/>
  <c r="AF185" i="4"/>
  <c r="X185" i="4"/>
  <c r="P185" i="4"/>
  <c r="H185" i="4"/>
  <c r="AM185" i="4"/>
  <c r="AE185" i="4"/>
  <c r="W185" i="4"/>
  <c r="O185" i="4"/>
  <c r="G185" i="4"/>
  <c r="AL185" i="4"/>
  <c r="AD185" i="4"/>
  <c r="V185" i="4"/>
  <c r="N185" i="4"/>
  <c r="F185" i="4"/>
  <c r="AK185" i="4"/>
  <c r="AC185" i="4"/>
  <c r="U185" i="4"/>
  <c r="M185" i="4"/>
  <c r="E185" i="4"/>
  <c r="AP185" i="4"/>
  <c r="AH185" i="4"/>
  <c r="Z185" i="4"/>
  <c r="R185" i="4"/>
  <c r="J185" i="4"/>
  <c r="AB185" i="4"/>
  <c r="I185" i="4"/>
  <c r="AA185" i="4"/>
  <c r="D185" i="4"/>
  <c r="Y185" i="4"/>
  <c r="AQ185" i="4"/>
  <c r="T185" i="4"/>
  <c r="AO185" i="4"/>
  <c r="S185" i="4"/>
  <c r="AJ185" i="4"/>
  <c r="Q185" i="4"/>
  <c r="AI185" i="4"/>
  <c r="L185" i="4"/>
  <c r="K185" i="4"/>
  <c r="AG185" i="4"/>
  <c r="AN77" i="4"/>
  <c r="AN78" i="4" s="1"/>
  <c r="AN68" i="4"/>
  <c r="Y77" i="4"/>
  <c r="Y78" i="4" s="1"/>
  <c r="Y68" i="4"/>
  <c r="AD77" i="4"/>
  <c r="AD78" i="4" s="1"/>
  <c r="AD68" i="4"/>
  <c r="AL52" i="4"/>
  <c r="AO52" i="4"/>
  <c r="AP52" i="4"/>
  <c r="AQ52" i="4"/>
  <c r="AB49" i="4"/>
  <c r="H186" i="4"/>
  <c r="I186" i="4"/>
  <c r="AB186" i="4"/>
  <c r="N186" i="4"/>
  <c r="AM186" i="4"/>
  <c r="W101" i="4"/>
  <c r="AN101" i="4"/>
  <c r="AQ101" i="4"/>
  <c r="AP101" i="4"/>
  <c r="AL101" i="4"/>
  <c r="U154" i="4"/>
  <c r="U155" i="4"/>
  <c r="AH125" i="4"/>
  <c r="AH116" i="4"/>
  <c r="D155" i="4"/>
  <c r="D154" i="4"/>
  <c r="M155" i="4"/>
  <c r="M154" i="4"/>
  <c r="AQ155" i="4"/>
  <c r="AQ154" i="4"/>
  <c r="AP155" i="4"/>
  <c r="AP154" i="4"/>
  <c r="AQ147" i="4"/>
  <c r="AQ137" i="4"/>
  <c r="AG77" i="4"/>
  <c r="AG78" i="4" s="1"/>
  <c r="AG68" i="4"/>
  <c r="AL77" i="4"/>
  <c r="AL78" i="4" s="1"/>
  <c r="AL68" i="4"/>
  <c r="AC52" i="4"/>
  <c r="AD49" i="4"/>
  <c r="AA186" i="4"/>
  <c r="Q186" i="4"/>
  <c r="AJ186" i="4"/>
  <c r="V186" i="4"/>
  <c r="I101" i="4"/>
  <c r="AI101" i="4"/>
  <c r="F101" i="4"/>
  <c r="H101" i="4"/>
  <c r="AJ101" i="4"/>
  <c r="F46" i="3" l="1"/>
  <c r="H22" i="4" s="1"/>
  <c r="F44" i="3"/>
  <c r="H23" i="4" s="1"/>
  <c r="F25" i="3"/>
  <c r="F26" i="3" s="1"/>
  <c r="C27" i="4" s="1"/>
  <c r="G20" i="3"/>
  <c r="G21" i="3" s="1"/>
  <c r="C9" i="4" s="1"/>
  <c r="G25" i="3"/>
  <c r="G26" i="3" s="1"/>
  <c r="M46" i="2"/>
  <c r="P46" i="2"/>
  <c r="H9" i="4"/>
  <c r="H12" i="4"/>
  <c r="D156" i="4"/>
  <c r="E153" i="4" s="1"/>
  <c r="E156" i="4" s="1"/>
  <c r="F153" i="4" s="1"/>
  <c r="Y201" i="4"/>
  <c r="Y83" i="4" s="1"/>
  <c r="Y197" i="4"/>
  <c r="D197" i="4"/>
  <c r="D199" i="4" s="1"/>
  <c r="E195" i="4" s="1"/>
  <c r="D201" i="4"/>
  <c r="D83" i="4" s="1"/>
  <c r="D55" i="4" s="1"/>
  <c r="V201" i="4"/>
  <c r="V83" i="4" s="1"/>
  <c r="V55" i="4" s="1"/>
  <c r="V197" i="4"/>
  <c r="H201" i="4"/>
  <c r="H83" i="4" s="1"/>
  <c r="H55" i="4" s="1"/>
  <c r="H197" i="4"/>
  <c r="AQ201" i="4"/>
  <c r="AQ83" i="4" s="1"/>
  <c r="AQ197" i="4"/>
  <c r="L197" i="4"/>
  <c r="L201" i="4"/>
  <c r="L83" i="4" s="1"/>
  <c r="L55" i="4" s="1"/>
  <c r="AM201" i="4"/>
  <c r="AM83" i="4" s="1"/>
  <c r="AM197" i="4"/>
  <c r="Q201" i="4"/>
  <c r="Q83" i="4" s="1"/>
  <c r="Q55" i="4" s="1"/>
  <c r="Q197" i="4"/>
  <c r="AA201" i="4"/>
  <c r="AA83" i="4" s="1"/>
  <c r="AA197" i="4"/>
  <c r="E201" i="4"/>
  <c r="E83" i="4" s="1"/>
  <c r="E55" i="4" s="1"/>
  <c r="E197" i="4"/>
  <c r="AD201" i="4"/>
  <c r="AD83" i="4" s="1"/>
  <c r="AD197" i="4"/>
  <c r="P201" i="4"/>
  <c r="P83" i="4" s="1"/>
  <c r="P55" i="4" s="1"/>
  <c r="P197" i="4"/>
  <c r="AE201" i="4"/>
  <c r="AE83" i="4" s="1"/>
  <c r="AE197" i="4"/>
  <c r="N201" i="4"/>
  <c r="N83" i="4" s="1"/>
  <c r="N55" i="4" s="1"/>
  <c r="N197" i="4"/>
  <c r="AP201" i="4"/>
  <c r="AP83" i="4" s="1"/>
  <c r="AP197" i="4"/>
  <c r="AJ201" i="4"/>
  <c r="AJ83" i="4" s="1"/>
  <c r="AJ197" i="4"/>
  <c r="I201" i="4"/>
  <c r="I83" i="4" s="1"/>
  <c r="I55" i="4" s="1"/>
  <c r="I197" i="4"/>
  <c r="M201" i="4"/>
  <c r="M83" i="4" s="1"/>
  <c r="M55" i="4" s="1"/>
  <c r="M197" i="4"/>
  <c r="AL201" i="4"/>
  <c r="AL83" i="4" s="1"/>
  <c r="AL197" i="4"/>
  <c r="X201" i="4"/>
  <c r="X83" i="4" s="1"/>
  <c r="X197" i="4"/>
  <c r="Z201" i="4"/>
  <c r="Z83" i="4" s="1"/>
  <c r="Z197" i="4"/>
  <c r="AH201" i="4"/>
  <c r="AH83" i="4" s="1"/>
  <c r="AH197" i="4"/>
  <c r="D68" i="4"/>
  <c r="AI201" i="4"/>
  <c r="AI83" i="4" s="1"/>
  <c r="AI197" i="4"/>
  <c r="S201" i="4"/>
  <c r="S83" i="4" s="1"/>
  <c r="S55" i="4" s="1"/>
  <c r="S197" i="4"/>
  <c r="AB197" i="4"/>
  <c r="AB201" i="4"/>
  <c r="AB83" i="4" s="1"/>
  <c r="U201" i="4"/>
  <c r="U83" i="4" s="1"/>
  <c r="U55" i="4" s="1"/>
  <c r="U197" i="4"/>
  <c r="G201" i="4"/>
  <c r="G83" i="4" s="1"/>
  <c r="G55" i="4" s="1"/>
  <c r="G197" i="4"/>
  <c r="AF201" i="4"/>
  <c r="AF83" i="4" s="1"/>
  <c r="AF197" i="4"/>
  <c r="F201" i="4"/>
  <c r="F83" i="4" s="1"/>
  <c r="F55" i="4" s="1"/>
  <c r="F197" i="4"/>
  <c r="AO201" i="4"/>
  <c r="AO83" i="4" s="1"/>
  <c r="AO197" i="4"/>
  <c r="J201" i="4"/>
  <c r="J83" i="4" s="1"/>
  <c r="J55" i="4" s="1"/>
  <c r="J197" i="4"/>
  <c r="AC201" i="4"/>
  <c r="AC83" i="4" s="1"/>
  <c r="AC197" i="4"/>
  <c r="O201" i="4"/>
  <c r="O83" i="4" s="1"/>
  <c r="O55" i="4" s="1"/>
  <c r="O197" i="4"/>
  <c r="AN201" i="4"/>
  <c r="AN83" i="4" s="1"/>
  <c r="AN197" i="4"/>
  <c r="K201" i="4"/>
  <c r="K83" i="4" s="1"/>
  <c r="K55" i="4" s="1"/>
  <c r="K197" i="4"/>
  <c r="AG201" i="4"/>
  <c r="AG83" i="4" s="1"/>
  <c r="AG197" i="4"/>
  <c r="T197" i="4"/>
  <c r="T201" i="4"/>
  <c r="T83" i="4" s="1"/>
  <c r="T55" i="4" s="1"/>
  <c r="R201" i="4"/>
  <c r="R83" i="4" s="1"/>
  <c r="R55" i="4" s="1"/>
  <c r="R197" i="4"/>
  <c r="AK201" i="4"/>
  <c r="AK83" i="4" s="1"/>
  <c r="AK197" i="4"/>
  <c r="W201" i="4"/>
  <c r="W83" i="4" s="1"/>
  <c r="W55" i="4" s="1"/>
  <c r="W197" i="4"/>
  <c r="E84" i="4"/>
  <c r="E56" i="4" s="1"/>
  <c r="F73" i="4"/>
  <c r="E85" i="4"/>
  <c r="E57" i="4" s="1"/>
  <c r="E86" i="4"/>
  <c r="E58" i="4" s="1"/>
  <c r="C28" i="4" l="1"/>
  <c r="C29" i="4"/>
  <c r="D80" i="4" s="1"/>
  <c r="D52" i="4" s="1"/>
  <c r="C8" i="4"/>
  <c r="C12" i="4"/>
  <c r="H26" i="4"/>
  <c r="H27" i="4"/>
  <c r="C157" i="4" s="1"/>
  <c r="E158" i="4" s="1"/>
  <c r="E96" i="4" s="1"/>
  <c r="H21" i="4"/>
  <c r="E68" i="4"/>
  <c r="AE55" i="4"/>
  <c r="AG55" i="4"/>
  <c r="AN55" i="4"/>
  <c r="AO55" i="4"/>
  <c r="AP55" i="4"/>
  <c r="AD55" i="4"/>
  <c r="F156" i="4"/>
  <c r="G153" i="4" s="1"/>
  <c r="E196" i="4"/>
  <c r="E199" i="4" s="1"/>
  <c r="F195" i="4" s="1"/>
  <c r="Z55" i="4"/>
  <c r="AL55" i="4"/>
  <c r="AQ55" i="4"/>
  <c r="AK55" i="4"/>
  <c r="AF55" i="4"/>
  <c r="AH55" i="4"/>
  <c r="AJ55" i="4"/>
  <c r="X55" i="4"/>
  <c r="AC55" i="4"/>
  <c r="AI55" i="4"/>
  <c r="AA55" i="4"/>
  <c r="AM55" i="4"/>
  <c r="Y55" i="4"/>
  <c r="AB55" i="4"/>
  <c r="G73" i="4"/>
  <c r="F86" i="4"/>
  <c r="F58" i="4" s="1"/>
  <c r="F85" i="4"/>
  <c r="F57" i="4" s="1"/>
  <c r="F84" i="4"/>
  <c r="F56" i="4" s="1"/>
  <c r="D82" i="4" l="1"/>
  <c r="D54" i="4" s="1"/>
  <c r="U82" i="4"/>
  <c r="U54" i="4" s="1"/>
  <c r="E82" i="4"/>
  <c r="E54" i="4" s="1"/>
  <c r="S82" i="4"/>
  <c r="S54" i="4" s="1"/>
  <c r="R82" i="4"/>
  <c r="R54" i="4" s="1"/>
  <c r="Q82" i="4"/>
  <c r="Q54" i="4" s="1"/>
  <c r="W82" i="4"/>
  <c r="W54" i="4" s="1"/>
  <c r="G82" i="4"/>
  <c r="G54" i="4" s="1"/>
  <c r="N82" i="4"/>
  <c r="N54" i="4" s="1"/>
  <c r="K82" i="4"/>
  <c r="K54" i="4" s="1"/>
  <c r="M82" i="4"/>
  <c r="M54" i="4" s="1"/>
  <c r="F82" i="4"/>
  <c r="F54" i="4" s="1"/>
  <c r="O82" i="4"/>
  <c r="O54" i="4" s="1"/>
  <c r="J82" i="4"/>
  <c r="J54" i="4" s="1"/>
  <c r="I82" i="4"/>
  <c r="I54" i="4" s="1"/>
  <c r="V82" i="4"/>
  <c r="V54" i="4" s="1"/>
  <c r="L82" i="4"/>
  <c r="L54" i="4" s="1"/>
  <c r="T82" i="4"/>
  <c r="T54" i="4" s="1"/>
  <c r="H82" i="4"/>
  <c r="H54" i="4" s="1"/>
  <c r="P82" i="4"/>
  <c r="P54" i="4" s="1"/>
  <c r="C10" i="4"/>
  <c r="C13" i="4" s="1"/>
  <c r="C15" i="4" s="1"/>
  <c r="C48" i="4" s="1"/>
  <c r="C11" i="4"/>
  <c r="H24" i="4"/>
  <c r="D158" i="4"/>
  <c r="D96" i="4" s="1"/>
  <c r="C158" i="4"/>
  <c r="F158" i="4"/>
  <c r="F96" i="4" s="1"/>
  <c r="N80" i="4"/>
  <c r="N52" i="4" s="1"/>
  <c r="U80" i="4"/>
  <c r="U52" i="4" s="1"/>
  <c r="Q80" i="4"/>
  <c r="Q52" i="4" s="1"/>
  <c r="I80" i="4"/>
  <c r="I52" i="4" s="1"/>
  <c r="J80" i="4"/>
  <c r="J52" i="4" s="1"/>
  <c r="K80" i="4"/>
  <c r="K52" i="4" s="1"/>
  <c r="P80" i="4"/>
  <c r="P52" i="4" s="1"/>
  <c r="T80" i="4"/>
  <c r="T52" i="4" s="1"/>
  <c r="E80" i="4"/>
  <c r="E52" i="4" s="1"/>
  <c r="V80" i="4"/>
  <c r="V52" i="4" s="1"/>
  <c r="S80" i="4"/>
  <c r="S52" i="4" s="1"/>
  <c r="F80" i="4"/>
  <c r="F52" i="4" s="1"/>
  <c r="O80" i="4"/>
  <c r="O52" i="4" s="1"/>
  <c r="H80" i="4"/>
  <c r="H52" i="4" s="1"/>
  <c r="W80" i="4"/>
  <c r="W52" i="4" s="1"/>
  <c r="G80" i="4"/>
  <c r="G52" i="4" s="1"/>
  <c r="R80" i="4"/>
  <c r="R52" i="4" s="1"/>
  <c r="M80" i="4"/>
  <c r="M52" i="4" s="1"/>
  <c r="L80" i="4"/>
  <c r="L52" i="4" s="1"/>
  <c r="C49" i="4"/>
  <c r="Q49" i="4"/>
  <c r="L49" i="4"/>
  <c r="G49" i="4"/>
  <c r="I49" i="4"/>
  <c r="O49" i="4"/>
  <c r="R49" i="4"/>
  <c r="S49" i="4"/>
  <c r="K49" i="4"/>
  <c r="P49" i="4"/>
  <c r="N49" i="4"/>
  <c r="U49" i="4"/>
  <c r="E49" i="4"/>
  <c r="T49" i="4"/>
  <c r="J49" i="4"/>
  <c r="F49" i="4"/>
  <c r="H49" i="4"/>
  <c r="M49" i="4"/>
  <c r="D49" i="4"/>
  <c r="F68" i="4"/>
  <c r="G84" i="4"/>
  <c r="G56" i="4" s="1"/>
  <c r="G85" i="4"/>
  <c r="G57" i="4" s="1"/>
  <c r="G86" i="4"/>
  <c r="G58" i="4" s="1"/>
  <c r="H73" i="4"/>
  <c r="F196" i="4"/>
  <c r="F199" i="4" s="1"/>
  <c r="G195" i="4" s="1"/>
  <c r="G158" i="4"/>
  <c r="G96" i="4" s="1"/>
  <c r="G156" i="4"/>
  <c r="H153" i="4" s="1"/>
  <c r="R48" i="4"/>
  <c r="AI48" i="4"/>
  <c r="K48" i="4"/>
  <c r="V48" i="4"/>
  <c r="AF48" i="4"/>
  <c r="AL48" i="4"/>
  <c r="H31" i="4"/>
  <c r="P48" i="4"/>
  <c r="AJ48" i="4"/>
  <c r="G48" i="4"/>
  <c r="AQ48" i="4"/>
  <c r="AH48" i="4"/>
  <c r="AG48" i="4"/>
  <c r="N48" i="4"/>
  <c r="T48" i="4"/>
  <c r="AP48" i="4"/>
  <c r="O48" i="4"/>
  <c r="AM48" i="4"/>
  <c r="L48" i="4" l="1"/>
  <c r="H48" i="4"/>
  <c r="Y48" i="4"/>
  <c r="AA48" i="4"/>
  <c r="X48" i="4"/>
  <c r="H30" i="4"/>
  <c r="C105" i="4" s="1"/>
  <c r="C107" i="4" s="1"/>
  <c r="C108" i="4" s="1"/>
  <c r="M48" i="4"/>
  <c r="D48" i="4"/>
  <c r="AK48" i="4"/>
  <c r="I48" i="4"/>
  <c r="AB48" i="4"/>
  <c r="W48" i="4"/>
  <c r="AE48" i="4"/>
  <c r="AD48" i="4"/>
  <c r="J48" i="4"/>
  <c r="AN48" i="4"/>
  <c r="AC48" i="4"/>
  <c r="Z48" i="4"/>
  <c r="E48" i="4"/>
  <c r="S48" i="4"/>
  <c r="F48" i="4"/>
  <c r="AO48" i="4"/>
  <c r="U48" i="4"/>
  <c r="Q48" i="4"/>
  <c r="M81" i="4"/>
  <c r="M53" i="4" s="1"/>
  <c r="O88" i="4"/>
  <c r="AI87" i="4"/>
  <c r="AI50" i="4" s="1"/>
  <c r="L81" i="4"/>
  <c r="L53" i="4" s="1"/>
  <c r="J81" i="4"/>
  <c r="J53" i="4" s="1"/>
  <c r="J88" i="4"/>
  <c r="M88" i="4"/>
  <c r="M50" i="4" s="1"/>
  <c r="I88" i="4"/>
  <c r="P87" i="4"/>
  <c r="AD87" i="4"/>
  <c r="AD50" i="4" s="1"/>
  <c r="G81" i="4"/>
  <c r="G53" i="4" s="1"/>
  <c r="P88" i="4"/>
  <c r="AK87" i="4"/>
  <c r="AK50" i="4" s="1"/>
  <c r="F87" i="4"/>
  <c r="P51" i="4"/>
  <c r="Q88" i="4"/>
  <c r="AC87" i="4"/>
  <c r="AC50" i="4" s="1"/>
  <c r="X51" i="4"/>
  <c r="AL87" i="4"/>
  <c r="AL50" i="4" s="1"/>
  <c r="O81" i="4"/>
  <c r="O53" i="4" s="1"/>
  <c r="O51" i="4"/>
  <c r="S81" i="4"/>
  <c r="S53" i="4" s="1"/>
  <c r="O87" i="4"/>
  <c r="O50" i="4" s="1"/>
  <c r="L51" i="4"/>
  <c r="U88" i="4"/>
  <c r="M87" i="4"/>
  <c r="AG87" i="4"/>
  <c r="AG50" i="4" s="1"/>
  <c r="K81" i="4"/>
  <c r="K53" i="4" s="1"/>
  <c r="Q87" i="4"/>
  <c r="I81" i="4"/>
  <c r="I53" i="4" s="1"/>
  <c r="T81" i="4"/>
  <c r="T53" i="4" s="1"/>
  <c r="Z87" i="4"/>
  <c r="Z50" i="4" s="1"/>
  <c r="N88" i="4"/>
  <c r="U51" i="4"/>
  <c r="K87" i="4"/>
  <c r="AN87" i="4"/>
  <c r="AN50" i="4" s="1"/>
  <c r="G88" i="4"/>
  <c r="R88" i="4"/>
  <c r="W88" i="4"/>
  <c r="D87" i="4"/>
  <c r="Q51" i="4"/>
  <c r="V88" i="4"/>
  <c r="S88" i="4"/>
  <c r="I87" i="4"/>
  <c r="R87" i="4"/>
  <c r="Y87" i="4"/>
  <c r="Y50" i="4" s="1"/>
  <c r="K88" i="4"/>
  <c r="F88" i="4"/>
  <c r="W87" i="4"/>
  <c r="AB87" i="4"/>
  <c r="AB50" i="4" s="1"/>
  <c r="L88" i="4"/>
  <c r="H81" i="4"/>
  <c r="H53" i="4" s="1"/>
  <c r="AF51" i="4"/>
  <c r="W51" i="4"/>
  <c r="AP51" i="4"/>
  <c r="T51" i="4"/>
  <c r="AA87" i="4"/>
  <c r="AA50" i="4" s="1"/>
  <c r="H88" i="4"/>
  <c r="R81" i="4"/>
  <c r="R53" i="4" s="1"/>
  <c r="AO51" i="4"/>
  <c r="X87" i="4"/>
  <c r="X50" i="4" s="1"/>
  <c r="AQ87" i="4"/>
  <c r="AQ50" i="4" s="1"/>
  <c r="AH87" i="4"/>
  <c r="AH50" i="4" s="1"/>
  <c r="N87" i="4"/>
  <c r="G87" i="4"/>
  <c r="U87" i="4"/>
  <c r="P81" i="4"/>
  <c r="P53" i="4" s="1"/>
  <c r="C114" i="4"/>
  <c r="I115" i="4" s="1"/>
  <c r="AE87" i="4"/>
  <c r="AE50" i="4" s="1"/>
  <c r="AB51" i="4"/>
  <c r="N51" i="4"/>
  <c r="K51" i="4"/>
  <c r="V51" i="4"/>
  <c r="AM87" i="4"/>
  <c r="AM50" i="4" s="1"/>
  <c r="H87" i="4"/>
  <c r="H50" i="4" s="1"/>
  <c r="V81" i="4"/>
  <c r="V53" i="4" s="1"/>
  <c r="H51" i="4"/>
  <c r="G51" i="4"/>
  <c r="S87" i="4"/>
  <c r="E88" i="4"/>
  <c r="AO87" i="4"/>
  <c r="AO50" i="4" s="1"/>
  <c r="Y51" i="4"/>
  <c r="Q81" i="4"/>
  <c r="Q53" i="4" s="1"/>
  <c r="D130" i="4"/>
  <c r="D102" i="4" s="1"/>
  <c r="J51" i="4"/>
  <c r="R51" i="4"/>
  <c r="AG51" i="4"/>
  <c r="AJ51" i="4"/>
  <c r="AK51" i="4"/>
  <c r="AI51" i="4"/>
  <c r="D51" i="4"/>
  <c r="AE51" i="4"/>
  <c r="S51" i="4"/>
  <c r="E51" i="4"/>
  <c r="AA51" i="4"/>
  <c r="U81" i="4"/>
  <c r="U53" i="4" s="1"/>
  <c r="AM51" i="4"/>
  <c r="AQ51" i="4"/>
  <c r="T88" i="4"/>
  <c r="AC51" i="4"/>
  <c r="AP87" i="4"/>
  <c r="AP50" i="4" s="1"/>
  <c r="Z51" i="4"/>
  <c r="W81" i="4"/>
  <c r="W53" i="4" s="1"/>
  <c r="L87" i="4"/>
  <c r="AF87" i="4"/>
  <c r="AF50" i="4" s="1"/>
  <c r="F81" i="4"/>
  <c r="F53" i="4" s="1"/>
  <c r="AJ87" i="4"/>
  <c r="AJ50" i="4" s="1"/>
  <c r="AH51" i="4"/>
  <c r="AL51" i="4"/>
  <c r="V87" i="4"/>
  <c r="V50" i="4" s="1"/>
  <c r="I51" i="4"/>
  <c r="M51" i="4"/>
  <c r="AD51" i="4"/>
  <c r="AN51" i="4"/>
  <c r="N81" i="4"/>
  <c r="N53" i="4" s="1"/>
  <c r="T87" i="4"/>
  <c r="E87" i="4"/>
  <c r="F51" i="4"/>
  <c r="J87" i="4"/>
  <c r="D88" i="4"/>
  <c r="D89" i="4" s="1"/>
  <c r="C63" i="4"/>
  <c r="C65" i="4" s="1"/>
  <c r="M17" i="4" s="1"/>
  <c r="AB89" i="4"/>
  <c r="AB91" i="4" s="1"/>
  <c r="AB146" i="4" s="1"/>
  <c r="N115" i="4"/>
  <c r="AN89" i="4"/>
  <c r="AN91" i="4" s="1"/>
  <c r="AD89" i="4"/>
  <c r="AD91" i="4" s="1"/>
  <c r="AM89" i="4"/>
  <c r="AM91" i="4" s="1"/>
  <c r="AM146" i="4" s="1"/>
  <c r="AP115" i="4"/>
  <c r="D115" i="4"/>
  <c r="AA115" i="4"/>
  <c r="F115" i="4"/>
  <c r="T115" i="4"/>
  <c r="H115" i="4"/>
  <c r="V115" i="4"/>
  <c r="AB115" i="4"/>
  <c r="P115" i="4"/>
  <c r="AO115" i="4"/>
  <c r="AN115" i="4"/>
  <c r="AD115" i="4"/>
  <c r="AE115" i="4"/>
  <c r="G115" i="4"/>
  <c r="AM115" i="4"/>
  <c r="U115" i="4"/>
  <c r="AL89" i="4"/>
  <c r="AL91" i="4" s="1"/>
  <c r="S46" i="2"/>
  <c r="G68" i="4"/>
  <c r="G196" i="4"/>
  <c r="G199" i="4" s="1"/>
  <c r="H195" i="4" s="1"/>
  <c r="C61" i="4"/>
  <c r="C60" i="4"/>
  <c r="C142" i="4"/>
  <c r="D138" i="4" s="1"/>
  <c r="T139" i="4"/>
  <c r="I139" i="4"/>
  <c r="F139" i="4"/>
  <c r="R94" i="4"/>
  <c r="Q93" i="4"/>
  <c r="H93" i="4"/>
  <c r="S94" i="4"/>
  <c r="G94" i="4"/>
  <c r="L93" i="4"/>
  <c r="O94" i="4"/>
  <c r="L139" i="4"/>
  <c r="J94" i="4"/>
  <c r="I93" i="4"/>
  <c r="N94" i="4"/>
  <c r="K94" i="4"/>
  <c r="U94" i="4"/>
  <c r="R93" i="4"/>
  <c r="S139" i="4"/>
  <c r="N139" i="4"/>
  <c r="Q94" i="4"/>
  <c r="H94" i="4"/>
  <c r="D93" i="4"/>
  <c r="K139" i="4"/>
  <c r="G139" i="4"/>
  <c r="I94" i="4"/>
  <c r="O93" i="4"/>
  <c r="D94" i="4"/>
  <c r="G93" i="4"/>
  <c r="U139" i="4"/>
  <c r="R139" i="4"/>
  <c r="S93" i="4"/>
  <c r="M139" i="4"/>
  <c r="J139" i="4"/>
  <c r="O139" i="4"/>
  <c r="N93" i="4"/>
  <c r="K93" i="4"/>
  <c r="E94" i="4"/>
  <c r="J93" i="4"/>
  <c r="U93" i="4"/>
  <c r="D139" i="4"/>
  <c r="T93" i="4"/>
  <c r="E93" i="4"/>
  <c r="P94" i="4"/>
  <c r="L94" i="4"/>
  <c r="F93" i="4"/>
  <c r="F94" i="4"/>
  <c r="E139" i="4"/>
  <c r="P139" i="4"/>
  <c r="H139" i="4"/>
  <c r="M94" i="4"/>
  <c r="Q139" i="4"/>
  <c r="P93" i="4"/>
  <c r="T94" i="4"/>
  <c r="M93" i="4"/>
  <c r="I73" i="4"/>
  <c r="H85" i="4"/>
  <c r="H57" i="4" s="1"/>
  <c r="H86" i="4"/>
  <c r="H58" i="4" s="1"/>
  <c r="H84" i="4"/>
  <c r="H158" i="4"/>
  <c r="H96" i="4" s="1"/>
  <c r="H156" i="4"/>
  <c r="I153" i="4" s="1"/>
  <c r="X61" i="4" l="1"/>
  <c r="Y61" i="4"/>
  <c r="AG61" i="4"/>
  <c r="AB60" i="4"/>
  <c r="AI89" i="4"/>
  <c r="AI91" i="4" s="1"/>
  <c r="AI146" i="4" s="1"/>
  <c r="AI61" i="4"/>
  <c r="O115" i="4"/>
  <c r="J50" i="4"/>
  <c r="J61" i="4" s="1"/>
  <c r="O61" i="4"/>
  <c r="AB61" i="4"/>
  <c r="Y89" i="4"/>
  <c r="Y91" i="4" s="1"/>
  <c r="Y146" i="4" s="1"/>
  <c r="Y60" i="4"/>
  <c r="AD60" i="4"/>
  <c r="AM61" i="4"/>
  <c r="AP60" i="4"/>
  <c r="AG60" i="4"/>
  <c r="AH89" i="4"/>
  <c r="AH91" i="4" s="1"/>
  <c r="AH146" i="4" s="1"/>
  <c r="AN61" i="4"/>
  <c r="AA60" i="4"/>
  <c r="U50" i="4"/>
  <c r="U61" i="4" s="1"/>
  <c r="P50" i="4"/>
  <c r="P61" i="4" s="1"/>
  <c r="AH61" i="4"/>
  <c r="AD61" i="4"/>
  <c r="N50" i="4"/>
  <c r="N61" i="4" s="1"/>
  <c r="AF89" i="4"/>
  <c r="AF91" i="4" s="1"/>
  <c r="AF146" i="4" s="1"/>
  <c r="AM60" i="4"/>
  <c r="AC61" i="4"/>
  <c r="AO89" i="4"/>
  <c r="AO91" i="4" s="1"/>
  <c r="AC89" i="4"/>
  <c r="AC91" i="4" s="1"/>
  <c r="AC146" i="4" s="1"/>
  <c r="AP61" i="4"/>
  <c r="F50" i="4"/>
  <c r="F60" i="4" s="1"/>
  <c r="AQ89" i="4"/>
  <c r="AQ91" i="4" s="1"/>
  <c r="I50" i="4"/>
  <c r="I61" i="4" s="1"/>
  <c r="AP89" i="4"/>
  <c r="AP91" i="4" s="1"/>
  <c r="AP146" i="4" s="1"/>
  <c r="Z60" i="4"/>
  <c r="R50" i="4"/>
  <c r="R61" i="4" s="1"/>
  <c r="Z89" i="4"/>
  <c r="Z91" i="4" s="1"/>
  <c r="Z146" i="4" s="1"/>
  <c r="S50" i="4"/>
  <c r="S61" i="4" s="1"/>
  <c r="AQ61" i="4"/>
  <c r="AE61" i="4"/>
  <c r="AF60" i="4"/>
  <c r="Q50" i="4"/>
  <c r="Q61" i="4" s="1"/>
  <c r="X89" i="4"/>
  <c r="X91" i="4" s="1"/>
  <c r="X146" i="4" s="1"/>
  <c r="AE89" i="4"/>
  <c r="AE91" i="4" s="1"/>
  <c r="X60" i="4"/>
  <c r="AH115" i="4"/>
  <c r="M115" i="4"/>
  <c r="AQ115" i="4"/>
  <c r="Y115" i="4"/>
  <c r="AF61" i="4"/>
  <c r="Z115" i="4"/>
  <c r="W115" i="4"/>
  <c r="AK115" i="4"/>
  <c r="K115" i="4"/>
  <c r="L50" i="4"/>
  <c r="L61" i="4" s="1"/>
  <c r="AK61" i="4"/>
  <c r="AE60" i="4"/>
  <c r="AG89" i="4"/>
  <c r="AG91" i="4" s="1"/>
  <c r="AG146" i="4" s="1"/>
  <c r="AK89" i="4"/>
  <c r="AK91" i="4" s="1"/>
  <c r="AK146" i="4" s="1"/>
  <c r="R115" i="4"/>
  <c r="AC115" i="4"/>
  <c r="AF115" i="4"/>
  <c r="AG115" i="4"/>
  <c r="AJ115" i="4"/>
  <c r="AL61" i="4"/>
  <c r="H61" i="4"/>
  <c r="K50" i="4"/>
  <c r="K61" i="4" s="1"/>
  <c r="G50" i="4"/>
  <c r="G61" i="4" s="1"/>
  <c r="W50" i="4"/>
  <c r="W61" i="4" s="1"/>
  <c r="AL115" i="4"/>
  <c r="E115" i="4"/>
  <c r="J115" i="4"/>
  <c r="AI115" i="4"/>
  <c r="L115" i="4"/>
  <c r="Q115" i="4"/>
  <c r="X115" i="4"/>
  <c r="AO61" i="4"/>
  <c r="AA61" i="4"/>
  <c r="S115" i="4"/>
  <c r="AK60" i="4"/>
  <c r="AO60" i="4"/>
  <c r="AA89" i="4"/>
  <c r="AA91" i="4" s="1"/>
  <c r="AA146" i="4" s="1"/>
  <c r="E50" i="4"/>
  <c r="E61" i="4" s="1"/>
  <c r="AI60" i="4"/>
  <c r="G89" i="4"/>
  <c r="AQ60" i="4"/>
  <c r="AJ60" i="4"/>
  <c r="C123" i="4"/>
  <c r="AD124" i="4" s="1"/>
  <c r="V61" i="4"/>
  <c r="F89" i="4"/>
  <c r="AJ89" i="4"/>
  <c r="AJ91" i="4" s="1"/>
  <c r="AJ146" i="4" s="1"/>
  <c r="AJ61" i="4"/>
  <c r="T50" i="4"/>
  <c r="T61" i="4" s="1"/>
  <c r="AL60" i="4"/>
  <c r="Z61" i="4"/>
  <c r="AN60" i="4"/>
  <c r="AH60" i="4"/>
  <c r="AC60" i="4"/>
  <c r="M61" i="4"/>
  <c r="D50" i="4"/>
  <c r="D60" i="4" s="1"/>
  <c r="E89" i="4"/>
  <c r="M7" i="4"/>
  <c r="M10" i="4"/>
  <c r="M9" i="4"/>
  <c r="M11" i="4"/>
  <c r="M13" i="4"/>
  <c r="M6" i="4"/>
  <c r="M12" i="4"/>
  <c r="H196" i="4"/>
  <c r="H199" i="4" s="1"/>
  <c r="I195" i="4" s="1"/>
  <c r="H56" i="4"/>
  <c r="H89" i="4"/>
  <c r="E137" i="4"/>
  <c r="U125" i="4"/>
  <c r="U116" i="4"/>
  <c r="S125" i="4"/>
  <c r="S116" i="4"/>
  <c r="K137" i="4"/>
  <c r="I156" i="4"/>
  <c r="J153" i="4" s="1"/>
  <c r="I158" i="4"/>
  <c r="I96" i="4" s="1"/>
  <c r="I97" i="4" s="1"/>
  <c r="M125" i="4"/>
  <c r="M116" i="4"/>
  <c r="J125" i="4"/>
  <c r="J116" i="4"/>
  <c r="R137" i="4"/>
  <c r="D125" i="4"/>
  <c r="D116" i="4"/>
  <c r="D97" i="4"/>
  <c r="H116" i="4"/>
  <c r="H125" i="4"/>
  <c r="H97" i="4"/>
  <c r="F125" i="4"/>
  <c r="F97" i="4"/>
  <c r="F116" i="4"/>
  <c r="U137" i="4"/>
  <c r="I116" i="4"/>
  <c r="I125" i="4"/>
  <c r="Q116" i="4"/>
  <c r="Q125" i="4"/>
  <c r="I86" i="4"/>
  <c r="I58" i="4" s="1"/>
  <c r="J73" i="4"/>
  <c r="I84" i="4"/>
  <c r="I85" i="4"/>
  <c r="I57" i="4" s="1"/>
  <c r="AQ146" i="4"/>
  <c r="AD146" i="4"/>
  <c r="P116" i="4"/>
  <c r="P125" i="4"/>
  <c r="K125" i="4"/>
  <c r="K116" i="4"/>
  <c r="G125" i="4"/>
  <c r="G116" i="4"/>
  <c r="G97" i="4"/>
  <c r="AL146" i="4"/>
  <c r="AN146" i="4"/>
  <c r="Q137" i="4"/>
  <c r="N125" i="4"/>
  <c r="N116" i="4"/>
  <c r="N137" i="4"/>
  <c r="L137" i="4"/>
  <c r="F137" i="4"/>
  <c r="AE146" i="4"/>
  <c r="E125" i="4"/>
  <c r="E116" i="4"/>
  <c r="E97" i="4"/>
  <c r="O137" i="4"/>
  <c r="O125" i="4"/>
  <c r="O116" i="4"/>
  <c r="S137" i="4"/>
  <c r="I137" i="4"/>
  <c r="AO146" i="4"/>
  <c r="H137" i="4"/>
  <c r="T125" i="4"/>
  <c r="T116" i="4"/>
  <c r="J137" i="4"/>
  <c r="R125" i="4"/>
  <c r="R116" i="4"/>
  <c r="L125" i="4"/>
  <c r="L116" i="4"/>
  <c r="T137" i="4"/>
  <c r="P137" i="4"/>
  <c r="C162" i="4"/>
  <c r="C164" i="4" s="1"/>
  <c r="D137" i="4"/>
  <c r="M137" i="4"/>
  <c r="G137" i="4"/>
  <c r="D140" i="4"/>
  <c r="D141" i="4" s="1"/>
  <c r="D142" i="4" s="1"/>
  <c r="E138" i="4" s="1"/>
  <c r="U124" i="4" l="1"/>
  <c r="F61" i="4"/>
  <c r="AN124" i="4"/>
  <c r="AO124" i="4"/>
  <c r="AJ124" i="4"/>
  <c r="AQ124" i="4"/>
  <c r="AH124" i="4"/>
  <c r="S124" i="4"/>
  <c r="R124" i="4"/>
  <c r="AG124" i="4"/>
  <c r="AL124" i="4"/>
  <c r="P124" i="4"/>
  <c r="E124" i="4"/>
  <c r="I124" i="4"/>
  <c r="X124" i="4"/>
  <c r="AA124" i="4"/>
  <c r="G124" i="4"/>
  <c r="G60" i="4"/>
  <c r="E60" i="4"/>
  <c r="F124" i="4"/>
  <c r="H124" i="4"/>
  <c r="AB124" i="4"/>
  <c r="AF124" i="4"/>
  <c r="AI124" i="4"/>
  <c r="M124" i="4"/>
  <c r="AM124" i="4"/>
  <c r="Y124" i="4"/>
  <c r="AC124" i="4"/>
  <c r="AP124" i="4"/>
  <c r="N124" i="4"/>
  <c r="AK124" i="4"/>
  <c r="D124" i="4"/>
  <c r="AE124" i="4"/>
  <c r="V124" i="4"/>
  <c r="L124" i="4"/>
  <c r="Z124" i="4"/>
  <c r="Q124" i="4"/>
  <c r="J124" i="4"/>
  <c r="K124" i="4"/>
  <c r="W124" i="4"/>
  <c r="O124" i="4"/>
  <c r="T124" i="4"/>
  <c r="D61" i="4"/>
  <c r="M8" i="4"/>
  <c r="M18" i="4" s="1"/>
  <c r="E5" i="3" s="1"/>
  <c r="E140" i="4"/>
  <c r="E141" i="4" s="1"/>
  <c r="E142" i="4" s="1"/>
  <c r="F138" i="4" s="1"/>
  <c r="I196" i="4"/>
  <c r="I199" i="4" s="1"/>
  <c r="J195" i="4" s="1"/>
  <c r="H60" i="4"/>
  <c r="H68" i="4"/>
  <c r="I56" i="4"/>
  <c r="I89" i="4"/>
  <c r="J158" i="4"/>
  <c r="J96" i="4" s="1"/>
  <c r="J97" i="4" s="1"/>
  <c r="J156" i="4"/>
  <c r="K153" i="4" s="1"/>
  <c r="K73" i="4"/>
  <c r="J86" i="4"/>
  <c r="J58" i="4" s="1"/>
  <c r="J84" i="4"/>
  <c r="J85" i="4"/>
  <c r="J57" i="4" s="1"/>
  <c r="J196" i="4" l="1"/>
  <c r="J199" i="4" s="1"/>
  <c r="K195" i="4" s="1"/>
  <c r="F140" i="4"/>
  <c r="F141" i="4" s="1"/>
  <c r="F142" i="4" s="1"/>
  <c r="G138" i="4" s="1"/>
  <c r="K158" i="4"/>
  <c r="K96" i="4" s="1"/>
  <c r="K97" i="4" s="1"/>
  <c r="K156" i="4"/>
  <c r="L153" i="4" s="1"/>
  <c r="J56" i="4"/>
  <c r="J89" i="4"/>
  <c r="I60" i="4"/>
  <c r="I68" i="4"/>
  <c r="K86" i="4"/>
  <c r="K58" i="4" s="1"/>
  <c r="K85" i="4"/>
  <c r="K57" i="4" s="1"/>
  <c r="K84" i="4"/>
  <c r="L73" i="4"/>
  <c r="G140" i="4" l="1"/>
  <c r="G141" i="4" s="1"/>
  <c r="G142" i="4" s="1"/>
  <c r="H138" i="4" s="1"/>
  <c r="K196" i="4"/>
  <c r="K199" i="4" s="1"/>
  <c r="L195" i="4" s="1"/>
  <c r="L86" i="4"/>
  <c r="L58" i="4" s="1"/>
  <c r="M73" i="4"/>
  <c r="L84" i="4"/>
  <c r="L85" i="4"/>
  <c r="L57" i="4" s="1"/>
  <c r="L156" i="4"/>
  <c r="M153" i="4" s="1"/>
  <c r="L158" i="4"/>
  <c r="L96" i="4" s="1"/>
  <c r="L97" i="4" s="1"/>
  <c r="K56" i="4"/>
  <c r="K89" i="4"/>
  <c r="J60" i="4"/>
  <c r="J68" i="4"/>
  <c r="X46" i="2" l="1"/>
  <c r="L196" i="4"/>
  <c r="L199" i="4" s="1"/>
  <c r="M195" i="4" s="1"/>
  <c r="H140" i="4"/>
  <c r="H141" i="4" s="1"/>
  <c r="H142" i="4" s="1"/>
  <c r="I138" i="4" s="1"/>
  <c r="L56" i="4"/>
  <c r="L89" i="4"/>
  <c r="M156" i="4"/>
  <c r="N153" i="4" s="1"/>
  <c r="M158" i="4"/>
  <c r="M96" i="4" s="1"/>
  <c r="M97" i="4" s="1"/>
  <c r="M84" i="4"/>
  <c r="N73" i="4"/>
  <c r="M85" i="4"/>
  <c r="M57" i="4" s="1"/>
  <c r="M86" i="4"/>
  <c r="M58" i="4" s="1"/>
  <c r="K60" i="4"/>
  <c r="K68" i="4"/>
  <c r="I140" i="4" l="1"/>
  <c r="I141" i="4" s="1"/>
  <c r="I142" i="4" s="1"/>
  <c r="J138" i="4" s="1"/>
  <c r="M196" i="4"/>
  <c r="M199" i="4" s="1"/>
  <c r="N195" i="4" s="1"/>
  <c r="N158" i="4"/>
  <c r="N96" i="4" s="1"/>
  <c r="N97" i="4" s="1"/>
  <c r="N156" i="4"/>
  <c r="O153" i="4" s="1"/>
  <c r="L60" i="4"/>
  <c r="L68" i="4"/>
  <c r="N86" i="4"/>
  <c r="N58" i="4" s="1"/>
  <c r="N85" i="4"/>
  <c r="N57" i="4" s="1"/>
  <c r="N84" i="4"/>
  <c r="O73" i="4"/>
  <c r="M56" i="4"/>
  <c r="M89" i="4"/>
  <c r="N196" i="4" l="1"/>
  <c r="N199" i="4" s="1"/>
  <c r="O195" i="4" s="1"/>
  <c r="J140" i="4"/>
  <c r="J141" i="4" s="1"/>
  <c r="J142" i="4" s="1"/>
  <c r="K138" i="4" s="1"/>
  <c r="O86" i="4"/>
  <c r="O58" i="4" s="1"/>
  <c r="P73" i="4"/>
  <c r="O84" i="4"/>
  <c r="O85" i="4"/>
  <c r="O57" i="4" s="1"/>
  <c r="O158" i="4"/>
  <c r="O96" i="4" s="1"/>
  <c r="O97" i="4" s="1"/>
  <c r="O156" i="4"/>
  <c r="P153" i="4" s="1"/>
  <c r="N56" i="4"/>
  <c r="N89" i="4"/>
  <c r="M60" i="4"/>
  <c r="M68" i="4"/>
  <c r="K140" i="4" l="1"/>
  <c r="K141" i="4" s="1"/>
  <c r="K142" i="4" s="1"/>
  <c r="L138" i="4" s="1"/>
  <c r="O196" i="4"/>
  <c r="O199" i="4" s="1"/>
  <c r="P195" i="4" s="1"/>
  <c r="O56" i="4"/>
  <c r="O89" i="4"/>
  <c r="P86" i="4"/>
  <c r="P58" i="4" s="1"/>
  <c r="P85" i="4"/>
  <c r="P57" i="4" s="1"/>
  <c r="P84" i="4"/>
  <c r="Q73" i="4"/>
  <c r="N60" i="4"/>
  <c r="N68" i="4"/>
  <c r="P156" i="4"/>
  <c r="Q153" i="4" s="1"/>
  <c r="P158" i="4"/>
  <c r="P96" i="4" s="1"/>
  <c r="P97" i="4" s="1"/>
  <c r="P196" i="4" l="1"/>
  <c r="P199" i="4" s="1"/>
  <c r="Q195" i="4" s="1"/>
  <c r="L140" i="4"/>
  <c r="L141" i="4" s="1"/>
  <c r="L142" i="4" s="1"/>
  <c r="M138" i="4" s="1"/>
  <c r="O60" i="4"/>
  <c r="O68" i="4"/>
  <c r="Q156" i="4"/>
  <c r="R153" i="4" s="1"/>
  <c r="Q158" i="4"/>
  <c r="Q96" i="4" s="1"/>
  <c r="Q97" i="4" s="1"/>
  <c r="P56" i="4"/>
  <c r="P89" i="4"/>
  <c r="Q86" i="4"/>
  <c r="Q58" i="4" s="1"/>
  <c r="R73" i="4"/>
  <c r="Q84" i="4"/>
  <c r="Q85" i="4"/>
  <c r="Q57" i="4" s="1"/>
  <c r="M140" i="4" l="1"/>
  <c r="M141" i="4" s="1"/>
  <c r="M142" i="4" s="1"/>
  <c r="N138" i="4" s="1"/>
  <c r="Q196" i="4"/>
  <c r="Q199" i="4" s="1"/>
  <c r="R195" i="4" s="1"/>
  <c r="R158" i="4"/>
  <c r="R96" i="4" s="1"/>
  <c r="R97" i="4" s="1"/>
  <c r="R156" i="4"/>
  <c r="S153" i="4" s="1"/>
  <c r="P60" i="4"/>
  <c r="P68" i="4"/>
  <c r="Q56" i="4"/>
  <c r="Q89" i="4"/>
  <c r="R86" i="4"/>
  <c r="R58" i="4" s="1"/>
  <c r="R85" i="4"/>
  <c r="R57" i="4" s="1"/>
  <c r="R84" i="4"/>
  <c r="S73" i="4"/>
  <c r="R196" i="4" l="1"/>
  <c r="R199" i="4" s="1"/>
  <c r="S195" i="4" s="1"/>
  <c r="N140" i="4"/>
  <c r="N141" i="4" s="1"/>
  <c r="N142" i="4" s="1"/>
  <c r="O138" i="4" s="1"/>
  <c r="S86" i="4"/>
  <c r="S58" i="4" s="1"/>
  <c r="S85" i="4"/>
  <c r="S57" i="4" s="1"/>
  <c r="S84" i="4"/>
  <c r="T73" i="4"/>
  <c r="S158" i="4"/>
  <c r="S96" i="4" s="1"/>
  <c r="S97" i="4" s="1"/>
  <c r="S156" i="4"/>
  <c r="T153" i="4" s="1"/>
  <c r="Q60" i="4"/>
  <c r="Q68" i="4"/>
  <c r="R56" i="4"/>
  <c r="R89" i="4"/>
  <c r="O140" i="4" l="1"/>
  <c r="O141" i="4" s="1"/>
  <c r="O142" i="4" s="1"/>
  <c r="P138" i="4" s="1"/>
  <c r="T158" i="4"/>
  <c r="T96" i="4" s="1"/>
  <c r="T97" i="4" s="1"/>
  <c r="T156" i="4"/>
  <c r="U153" i="4" s="1"/>
  <c r="R60" i="4"/>
  <c r="R68" i="4"/>
  <c r="T86" i="4"/>
  <c r="T58" i="4" s="1"/>
  <c r="U73" i="4"/>
  <c r="T84" i="4"/>
  <c r="T85" i="4"/>
  <c r="T57" i="4" s="1"/>
  <c r="S56" i="4"/>
  <c r="S89" i="4"/>
  <c r="S196" i="4"/>
  <c r="S199" i="4" s="1"/>
  <c r="T195" i="4" s="1"/>
  <c r="T196" i="4" l="1"/>
  <c r="T199" i="4" s="1"/>
  <c r="U195" i="4" s="1"/>
  <c r="P140" i="4"/>
  <c r="P141" i="4" s="1"/>
  <c r="P142" i="4" s="1"/>
  <c r="Q138" i="4" s="1"/>
  <c r="U156" i="4"/>
  <c r="V153" i="4" s="1"/>
  <c r="U158" i="4"/>
  <c r="U96" i="4" s="1"/>
  <c r="U97" i="4" s="1"/>
  <c r="S60" i="4"/>
  <c r="S68" i="4"/>
  <c r="T56" i="4"/>
  <c r="T89" i="4"/>
  <c r="U85" i="4"/>
  <c r="U57" i="4" s="1"/>
  <c r="U86" i="4"/>
  <c r="U58" i="4" s="1"/>
  <c r="U84" i="4"/>
  <c r="V73" i="4"/>
  <c r="Q140" i="4" l="1"/>
  <c r="Q141" i="4" s="1"/>
  <c r="Q142" i="4" s="1"/>
  <c r="R138" i="4" s="1"/>
  <c r="U196" i="4"/>
  <c r="U199" i="4" s="1"/>
  <c r="V195" i="4" s="1"/>
  <c r="V84" i="4"/>
  <c r="W73" i="4"/>
  <c r="V85" i="4"/>
  <c r="V57" i="4" s="1"/>
  <c r="V86" i="4"/>
  <c r="V58" i="4" s="1"/>
  <c r="U56" i="4"/>
  <c r="U89" i="4"/>
  <c r="V156" i="4"/>
  <c r="W153" i="4" s="1"/>
  <c r="V158" i="4"/>
  <c r="V96" i="4" s="1"/>
  <c r="V97" i="4" s="1"/>
  <c r="T60" i="4"/>
  <c r="T68" i="4"/>
  <c r="V196" i="4" l="1"/>
  <c r="V199" i="4" s="1"/>
  <c r="W195" i="4" s="1"/>
  <c r="R140" i="4"/>
  <c r="R141" i="4" s="1"/>
  <c r="R142" i="4" s="1"/>
  <c r="S138" i="4" s="1"/>
  <c r="W85" i="4"/>
  <c r="W57" i="4" s="1"/>
  <c r="W84" i="4"/>
  <c r="W86" i="4"/>
  <c r="W58" i="4" s="1"/>
  <c r="C64" i="4"/>
  <c r="W158" i="4"/>
  <c r="W96" i="4" s="1"/>
  <c r="W97" i="4" s="1"/>
  <c r="W156" i="4"/>
  <c r="X153" i="4" s="1"/>
  <c r="U60" i="4"/>
  <c r="U68" i="4"/>
  <c r="V56" i="4"/>
  <c r="V89" i="4"/>
  <c r="L12" i="4" l="1"/>
  <c r="L6" i="4"/>
  <c r="L16" i="4"/>
  <c r="L15" i="4"/>
  <c r="S140" i="4"/>
  <c r="S141" i="4" s="1"/>
  <c r="S142" i="4" s="1"/>
  <c r="T138" i="4" s="1"/>
  <c r="W196" i="4"/>
  <c r="W199" i="4" s="1"/>
  <c r="X195" i="4" s="1"/>
  <c r="W56" i="4"/>
  <c r="W89" i="4"/>
  <c r="V60" i="4"/>
  <c r="V68" i="4"/>
  <c r="X156" i="4"/>
  <c r="Y153" i="4" s="1"/>
  <c r="X158" i="4"/>
  <c r="X96" i="4" s="1"/>
  <c r="L17" i="4"/>
  <c r="L7" i="4"/>
  <c r="L13" i="4"/>
  <c r="L9" i="4"/>
  <c r="L11" i="4"/>
  <c r="L10" i="4"/>
  <c r="L8" i="4"/>
  <c r="C67" i="4"/>
  <c r="X196" i="4" l="1"/>
  <c r="X199" i="4" s="1"/>
  <c r="Y195" i="4" s="1"/>
  <c r="T140" i="4"/>
  <c r="T141" i="4" s="1"/>
  <c r="T142" i="4" s="1"/>
  <c r="U138" i="4" s="1"/>
  <c r="L14" i="4"/>
  <c r="W60" i="4"/>
  <c r="L18" i="4" s="1"/>
  <c r="W68" i="4"/>
  <c r="W76" i="4" s="1"/>
  <c r="W77" i="4" s="1"/>
  <c r="W78" i="4" s="1"/>
  <c r="V76" i="4"/>
  <c r="V77" i="4" s="1"/>
  <c r="V78" i="4" s="1"/>
  <c r="Q76" i="4"/>
  <c r="Q77" i="4" s="1"/>
  <c r="Q78" i="4" s="1"/>
  <c r="N76" i="4"/>
  <c r="N77" i="4" s="1"/>
  <c r="N78" i="4" s="1"/>
  <c r="I76" i="4"/>
  <c r="I77" i="4" s="1"/>
  <c r="I78" i="4" s="1"/>
  <c r="M76" i="4"/>
  <c r="M77" i="4" s="1"/>
  <c r="M78" i="4" s="1"/>
  <c r="T76" i="4"/>
  <c r="T77" i="4" s="1"/>
  <c r="T78" i="4" s="1"/>
  <c r="H76" i="4"/>
  <c r="H77" i="4" s="1"/>
  <c r="H78" i="4" s="1"/>
  <c r="E76" i="4"/>
  <c r="E77" i="4" s="1"/>
  <c r="E78" i="4" s="1"/>
  <c r="L76" i="4"/>
  <c r="L77" i="4" s="1"/>
  <c r="L78" i="4" s="1"/>
  <c r="D76" i="4"/>
  <c r="D77" i="4" s="1"/>
  <c r="D78" i="4" s="1"/>
  <c r="S76" i="4"/>
  <c r="S77" i="4" s="1"/>
  <c r="S78" i="4" s="1"/>
  <c r="O76" i="4"/>
  <c r="O77" i="4" s="1"/>
  <c r="O78" i="4" s="1"/>
  <c r="K76" i="4"/>
  <c r="K77" i="4" s="1"/>
  <c r="K78" i="4" s="1"/>
  <c r="R76" i="4"/>
  <c r="R77" i="4" s="1"/>
  <c r="R78" i="4" s="1"/>
  <c r="G76" i="4"/>
  <c r="G77" i="4" s="1"/>
  <c r="G78" i="4" s="1"/>
  <c r="F76" i="4"/>
  <c r="F77" i="4" s="1"/>
  <c r="F78" i="4" s="1"/>
  <c r="P76" i="4"/>
  <c r="P77" i="4" s="1"/>
  <c r="P78" i="4" s="1"/>
  <c r="U76" i="4"/>
  <c r="U77" i="4" s="1"/>
  <c r="U78" i="4" s="1"/>
  <c r="J76" i="4"/>
  <c r="J77" i="4" s="1"/>
  <c r="J78" i="4" s="1"/>
  <c r="X97" i="4"/>
  <c r="X121" i="4"/>
  <c r="X112" i="4"/>
  <c r="X117" i="4" s="1"/>
  <c r="X118" i="4" s="1"/>
  <c r="Y156" i="4"/>
  <c r="Z153" i="4" s="1"/>
  <c r="Y158" i="4"/>
  <c r="Y96" i="4" s="1"/>
  <c r="W91" i="4" l="1"/>
  <c r="U140" i="4"/>
  <c r="U141" i="4" s="1"/>
  <c r="U142" i="4" s="1"/>
  <c r="V138" i="4" s="1"/>
  <c r="Y196" i="4"/>
  <c r="Y199" i="4" s="1"/>
  <c r="Z195" i="4" s="1"/>
  <c r="E91" i="4"/>
  <c r="X126" i="4"/>
  <c r="X127" i="4" s="1"/>
  <c r="X128" i="4" s="1"/>
  <c r="X99" i="4"/>
  <c r="K91" i="4"/>
  <c r="T91" i="4"/>
  <c r="Z158" i="4"/>
  <c r="Z96" i="4" s="1"/>
  <c r="Z156" i="4"/>
  <c r="AA153" i="4" s="1"/>
  <c r="O91" i="4"/>
  <c r="M91" i="4"/>
  <c r="H91" i="4"/>
  <c r="S91" i="4"/>
  <c r="I91" i="4"/>
  <c r="R91" i="4"/>
  <c r="U91" i="4"/>
  <c r="D91" i="4"/>
  <c r="N91" i="4"/>
  <c r="J91" i="4"/>
  <c r="P91" i="4"/>
  <c r="Q91" i="4"/>
  <c r="G91" i="4"/>
  <c r="Y97" i="4"/>
  <c r="Y121" i="4"/>
  <c r="Y112" i="4"/>
  <c r="Y117" i="4" s="1"/>
  <c r="Y118" i="4" s="1"/>
  <c r="F91" i="4"/>
  <c r="L91" i="4"/>
  <c r="V91" i="4"/>
  <c r="C66" i="4"/>
  <c r="Z196" i="4" l="1"/>
  <c r="Z199" i="4" s="1"/>
  <c r="AA195" i="4" s="1"/>
  <c r="V140" i="4"/>
  <c r="V142" i="4"/>
  <c r="W138" i="4" s="1"/>
  <c r="AA158" i="4"/>
  <c r="AA96" i="4" s="1"/>
  <c r="AA156" i="4"/>
  <c r="AB153" i="4" s="1"/>
  <c r="E146" i="4"/>
  <c r="E147" i="4" s="1"/>
  <c r="E121" i="4"/>
  <c r="E112" i="4"/>
  <c r="E117" i="4" s="1"/>
  <c r="E118" i="4" s="1"/>
  <c r="P146" i="4"/>
  <c r="P147" i="4" s="1"/>
  <c r="P121" i="4"/>
  <c r="P112" i="4"/>
  <c r="P117" i="4" s="1"/>
  <c r="P118" i="4" s="1"/>
  <c r="H146" i="4"/>
  <c r="H147" i="4" s="1"/>
  <c r="H121" i="4"/>
  <c r="H112" i="4"/>
  <c r="H117" i="4" s="1"/>
  <c r="H118" i="4" s="1"/>
  <c r="V121" i="4"/>
  <c r="V146" i="4"/>
  <c r="V112" i="4"/>
  <c r="V117" i="4" s="1"/>
  <c r="V118" i="4" s="1"/>
  <c r="J146" i="4"/>
  <c r="J147" i="4" s="1"/>
  <c r="J121" i="4"/>
  <c r="J112" i="4"/>
  <c r="J117" i="4" s="1"/>
  <c r="J118" i="4" s="1"/>
  <c r="U121" i="4"/>
  <c r="U146" i="4"/>
  <c r="U147" i="4" s="1"/>
  <c r="U112" i="4"/>
  <c r="U117" i="4" s="1"/>
  <c r="U118" i="4" s="1"/>
  <c r="Y126" i="4"/>
  <c r="Y127" i="4" s="1"/>
  <c r="Y128" i="4" s="1"/>
  <c r="Y99" i="4"/>
  <c r="K146" i="4"/>
  <c r="K147" i="4" s="1"/>
  <c r="K121" i="4"/>
  <c r="K112" i="4"/>
  <c r="K117" i="4" s="1"/>
  <c r="K118" i="4" s="1"/>
  <c r="C165" i="4"/>
  <c r="C166" i="4" s="1"/>
  <c r="D146" i="4"/>
  <c r="D147" i="4" s="1"/>
  <c r="D121" i="4"/>
  <c r="D112" i="4"/>
  <c r="D117" i="4" s="1"/>
  <c r="D118" i="4" s="1"/>
  <c r="T121" i="4"/>
  <c r="T146" i="4"/>
  <c r="T147" i="4" s="1"/>
  <c r="T112" i="4"/>
  <c r="T117" i="4" s="1"/>
  <c r="T118" i="4" s="1"/>
  <c r="Q146" i="4"/>
  <c r="Q147" i="4" s="1"/>
  <c r="Q121" i="4"/>
  <c r="Q112" i="4"/>
  <c r="Q117" i="4" s="1"/>
  <c r="Q118" i="4" s="1"/>
  <c r="Z97" i="4"/>
  <c r="Z112" i="4"/>
  <c r="Z117" i="4" s="1"/>
  <c r="Z118" i="4" s="1"/>
  <c r="Z121" i="4"/>
  <c r="R146" i="4"/>
  <c r="R147" i="4" s="1"/>
  <c r="R121" i="4"/>
  <c r="R112" i="4"/>
  <c r="R117" i="4" s="1"/>
  <c r="R118" i="4" s="1"/>
  <c r="M146" i="4"/>
  <c r="M147" i="4" s="1"/>
  <c r="M121" i="4"/>
  <c r="M112" i="4"/>
  <c r="M117" i="4" s="1"/>
  <c r="M118" i="4" s="1"/>
  <c r="L146" i="4"/>
  <c r="L147" i="4" s="1"/>
  <c r="L121" i="4"/>
  <c r="L112" i="4"/>
  <c r="L117" i="4" s="1"/>
  <c r="L118" i="4" s="1"/>
  <c r="G146" i="4"/>
  <c r="G147" i="4" s="1"/>
  <c r="G121" i="4"/>
  <c r="G112" i="4"/>
  <c r="G117" i="4" s="1"/>
  <c r="G118" i="4" s="1"/>
  <c r="N121" i="4"/>
  <c r="N146" i="4"/>
  <c r="N147" i="4" s="1"/>
  <c r="N112" i="4"/>
  <c r="N117" i="4" s="1"/>
  <c r="N118" i="4" s="1"/>
  <c r="O146" i="4"/>
  <c r="O147" i="4" s="1"/>
  <c r="O121" i="4"/>
  <c r="O112" i="4"/>
  <c r="O117" i="4" s="1"/>
  <c r="O118" i="4" s="1"/>
  <c r="W146" i="4"/>
  <c r="W121" i="4"/>
  <c r="W112" i="4"/>
  <c r="W117" i="4" s="1"/>
  <c r="W118" i="4" s="1"/>
  <c r="S146" i="4"/>
  <c r="S147" i="4" s="1"/>
  <c r="S121" i="4"/>
  <c r="S112" i="4"/>
  <c r="S117" i="4" s="1"/>
  <c r="S118" i="4" s="1"/>
  <c r="X100" i="4"/>
  <c r="X132" i="4"/>
  <c r="X103" i="4" s="1"/>
  <c r="X107" i="4" s="1"/>
  <c r="X108" i="4" s="1"/>
  <c r="F146" i="4"/>
  <c r="F147" i="4" s="1"/>
  <c r="F121" i="4"/>
  <c r="F112" i="4"/>
  <c r="F117" i="4" s="1"/>
  <c r="F118" i="4" s="1"/>
  <c r="I146" i="4"/>
  <c r="I147" i="4" s="1"/>
  <c r="I121" i="4"/>
  <c r="I112" i="4"/>
  <c r="I117" i="4" s="1"/>
  <c r="I118" i="4" s="1"/>
  <c r="AA196" i="4" l="1"/>
  <c r="AA199" i="4" s="1"/>
  <c r="AB195" i="4" s="1"/>
  <c r="W126" i="4"/>
  <c r="W127" i="4" s="1"/>
  <c r="W128" i="4" s="1"/>
  <c r="W99" i="4"/>
  <c r="Q126" i="4"/>
  <c r="Q99" i="4"/>
  <c r="C148" i="4"/>
  <c r="C149" i="4" s="1"/>
  <c r="H35" i="4" s="1"/>
  <c r="H99" i="4"/>
  <c r="H126" i="4"/>
  <c r="H127" i="4" s="1"/>
  <c r="H128" i="4" s="1"/>
  <c r="G126" i="4"/>
  <c r="G127" i="4" s="1"/>
  <c r="G128" i="4" s="1"/>
  <c r="G99" i="4"/>
  <c r="AB156" i="4"/>
  <c r="AC153" i="4" s="1"/>
  <c r="AB158" i="4"/>
  <c r="AB96" i="4" s="1"/>
  <c r="O126" i="4"/>
  <c r="O127" i="4" s="1"/>
  <c r="O128" i="4" s="1"/>
  <c r="O99" i="4"/>
  <c r="T126" i="4"/>
  <c r="T127" i="4" s="1"/>
  <c r="T128" i="4" s="1"/>
  <c r="T99" i="4"/>
  <c r="AA97" i="4"/>
  <c r="AA121" i="4"/>
  <c r="AA112" i="4"/>
  <c r="AA117" i="4" s="1"/>
  <c r="AA118" i="4" s="1"/>
  <c r="R126" i="4"/>
  <c r="R127" i="4" s="1"/>
  <c r="R128" i="4" s="1"/>
  <c r="R99" i="4"/>
  <c r="P99" i="4"/>
  <c r="P126" i="4"/>
  <c r="P127" i="4" s="1"/>
  <c r="P128" i="4" s="1"/>
  <c r="W140" i="4"/>
  <c r="W142" i="4"/>
  <c r="X138" i="4" s="1"/>
  <c r="K126" i="4"/>
  <c r="K127" i="4" s="1"/>
  <c r="K128" i="4" s="1"/>
  <c r="K99" i="4"/>
  <c r="Y100" i="4"/>
  <c r="Y132" i="4"/>
  <c r="Y103" i="4" s="1"/>
  <c r="Y107" i="4" s="1"/>
  <c r="Y108" i="4" s="1"/>
  <c r="S126" i="4"/>
  <c r="S127" i="4" s="1"/>
  <c r="S128" i="4" s="1"/>
  <c r="S99" i="4"/>
  <c r="J126" i="4"/>
  <c r="J127" i="4" s="1"/>
  <c r="J128" i="4" s="1"/>
  <c r="J99" i="4"/>
  <c r="L126" i="4"/>
  <c r="L127" i="4" s="1"/>
  <c r="L128" i="4" s="1"/>
  <c r="L99" i="4"/>
  <c r="N126" i="4"/>
  <c r="N127" i="4" s="1"/>
  <c r="N128" i="4" s="1"/>
  <c r="N99" i="4"/>
  <c r="Z126" i="4"/>
  <c r="Z127" i="4" s="1"/>
  <c r="Z128" i="4" s="1"/>
  <c r="Z99" i="4"/>
  <c r="D126" i="4"/>
  <c r="D127" i="4" s="1"/>
  <c r="D128" i="4" s="1"/>
  <c r="D99" i="4"/>
  <c r="V126" i="4"/>
  <c r="V127" i="4" s="1"/>
  <c r="V128" i="4" s="1"/>
  <c r="V99" i="4"/>
  <c r="Q127" i="4"/>
  <c r="Q128" i="4" s="1"/>
  <c r="I126" i="4"/>
  <c r="I127" i="4" s="1"/>
  <c r="I128" i="4" s="1"/>
  <c r="I99" i="4"/>
  <c r="F126" i="4"/>
  <c r="F127" i="4" s="1"/>
  <c r="F128" i="4" s="1"/>
  <c r="F99" i="4"/>
  <c r="M126" i="4"/>
  <c r="M127" i="4" s="1"/>
  <c r="M128" i="4" s="1"/>
  <c r="M99" i="4"/>
  <c r="U126" i="4"/>
  <c r="U127" i="4" s="1"/>
  <c r="U128" i="4" s="1"/>
  <c r="U99" i="4"/>
  <c r="E126" i="4"/>
  <c r="E127" i="4" s="1"/>
  <c r="E128" i="4" s="1"/>
  <c r="E99" i="4"/>
  <c r="N100" i="4" l="1"/>
  <c r="N132" i="4"/>
  <c r="N103" i="4" s="1"/>
  <c r="N107" i="4" s="1"/>
  <c r="N108" i="4" s="1"/>
  <c r="K100" i="4"/>
  <c r="K132" i="4"/>
  <c r="K103" i="4" s="1"/>
  <c r="K107" i="4" s="1"/>
  <c r="K108" i="4" s="1"/>
  <c r="E100" i="4"/>
  <c r="E132" i="4"/>
  <c r="E103" i="4" s="1"/>
  <c r="E107" i="4" s="1"/>
  <c r="E108" i="4" s="1"/>
  <c r="V100" i="4"/>
  <c r="V132" i="4"/>
  <c r="V103" i="4" s="1"/>
  <c r="V107" i="4" s="1"/>
  <c r="V108" i="4" s="1"/>
  <c r="H100" i="4"/>
  <c r="H132" i="4"/>
  <c r="H103" i="4" s="1"/>
  <c r="H107" i="4" s="1"/>
  <c r="H108" i="4" s="1"/>
  <c r="O100" i="4"/>
  <c r="O132" i="4"/>
  <c r="O103" i="4" s="1"/>
  <c r="O107" i="4" s="1"/>
  <c r="O108" i="4" s="1"/>
  <c r="P100" i="4"/>
  <c r="P132" i="4"/>
  <c r="P103" i="4" s="1"/>
  <c r="P107" i="4" s="1"/>
  <c r="P108" i="4" s="1"/>
  <c r="G100" i="4"/>
  <c r="G132" i="4"/>
  <c r="G103" i="4" s="1"/>
  <c r="G107" i="4" s="1"/>
  <c r="G108" i="4" s="1"/>
  <c r="F100" i="4"/>
  <c r="F132" i="4"/>
  <c r="F103" i="4" s="1"/>
  <c r="F107" i="4" s="1"/>
  <c r="F108" i="4" s="1"/>
  <c r="AB196" i="4"/>
  <c r="AB199" i="4" s="1"/>
  <c r="AC195" i="4" s="1"/>
  <c r="D100" i="4"/>
  <c r="D132" i="4"/>
  <c r="D103" i="4" s="1"/>
  <c r="D107" i="4" s="1"/>
  <c r="AA126" i="4"/>
  <c r="AA127" i="4" s="1"/>
  <c r="AA128" i="4" s="1"/>
  <c r="AA99" i="4"/>
  <c r="M100" i="4"/>
  <c r="M132" i="4"/>
  <c r="M103" i="4" s="1"/>
  <c r="M107" i="4" s="1"/>
  <c r="M108" i="4" s="1"/>
  <c r="R100" i="4"/>
  <c r="R132" i="4"/>
  <c r="R103" i="4" s="1"/>
  <c r="R107" i="4" s="1"/>
  <c r="R108" i="4" s="1"/>
  <c r="S100" i="4"/>
  <c r="S132" i="4"/>
  <c r="S103" i="4" s="1"/>
  <c r="S107" i="4" s="1"/>
  <c r="S108" i="4" s="1"/>
  <c r="L100" i="4"/>
  <c r="L132" i="4"/>
  <c r="L103" i="4" s="1"/>
  <c r="L107" i="4" s="1"/>
  <c r="L108" i="4" s="1"/>
  <c r="AB97" i="4"/>
  <c r="AB121" i="4"/>
  <c r="AB112" i="4"/>
  <c r="AB117" i="4" s="1"/>
  <c r="AB118" i="4" s="1"/>
  <c r="U100" i="4"/>
  <c r="U132" i="4"/>
  <c r="U103" i="4" s="1"/>
  <c r="U107" i="4" s="1"/>
  <c r="U108" i="4" s="1"/>
  <c r="Z100" i="4"/>
  <c r="Z132" i="4"/>
  <c r="Z103" i="4" s="1"/>
  <c r="Z107" i="4" s="1"/>
  <c r="Z108" i="4" s="1"/>
  <c r="J100" i="4"/>
  <c r="J132" i="4"/>
  <c r="J103" i="4" s="1"/>
  <c r="J107" i="4" s="1"/>
  <c r="J108" i="4" s="1"/>
  <c r="AC156" i="4"/>
  <c r="AD153" i="4" s="1"/>
  <c r="AC158" i="4"/>
  <c r="AC96" i="4" s="1"/>
  <c r="T100" i="4"/>
  <c r="T132" i="4"/>
  <c r="T103" i="4" s="1"/>
  <c r="T107" i="4" s="1"/>
  <c r="T108" i="4" s="1"/>
  <c r="I100" i="4"/>
  <c r="I132" i="4"/>
  <c r="I103" i="4" s="1"/>
  <c r="I107" i="4" s="1"/>
  <c r="I108" i="4" s="1"/>
  <c r="Q100" i="4"/>
  <c r="Q132" i="4"/>
  <c r="Q103" i="4" s="1"/>
  <c r="Q107" i="4" s="1"/>
  <c r="Q108" i="4" s="1"/>
  <c r="W100" i="4"/>
  <c r="W132" i="4"/>
  <c r="W103" i="4" s="1"/>
  <c r="W107" i="4" s="1"/>
  <c r="W108" i="4" s="1"/>
  <c r="X142" i="4"/>
  <c r="Y138" i="4" s="1"/>
  <c r="X140" i="4"/>
  <c r="AA100" i="4" l="1"/>
  <c r="AA132" i="4"/>
  <c r="AA103" i="4" s="1"/>
  <c r="AA107" i="4" s="1"/>
  <c r="AA108" i="4" s="1"/>
  <c r="D108" i="4"/>
  <c r="AC97" i="4"/>
  <c r="AC121" i="4"/>
  <c r="AC112" i="4"/>
  <c r="AC117" i="4" s="1"/>
  <c r="AC118" i="4" s="1"/>
  <c r="AB126" i="4"/>
  <c r="AB127" i="4" s="1"/>
  <c r="AB128" i="4" s="1"/>
  <c r="AB99" i="4"/>
  <c r="Y142" i="4"/>
  <c r="Z138" i="4" s="1"/>
  <c r="Y140" i="4"/>
  <c r="AC196" i="4"/>
  <c r="AC199" i="4" s="1"/>
  <c r="AD195" i="4" s="1"/>
  <c r="AD158" i="4"/>
  <c r="AD96" i="4" s="1"/>
  <c r="AD156" i="4"/>
  <c r="AE153" i="4" s="1"/>
  <c r="AD196" i="4" l="1"/>
  <c r="AD199" i="4" s="1"/>
  <c r="AE195" i="4" s="1"/>
  <c r="AB100" i="4"/>
  <c r="AB132" i="4"/>
  <c r="AB103" i="4" s="1"/>
  <c r="AB107" i="4" s="1"/>
  <c r="AD97" i="4"/>
  <c r="AD121" i="4"/>
  <c r="AD112" i="4"/>
  <c r="AD117" i="4" s="1"/>
  <c r="AD118" i="4" s="1"/>
  <c r="AC126" i="4"/>
  <c r="AC127" i="4" s="1"/>
  <c r="AC128" i="4" s="1"/>
  <c r="AC99" i="4"/>
  <c r="Z142" i="4"/>
  <c r="AA138" i="4" s="1"/>
  <c r="Z140" i="4"/>
  <c r="AE158" i="4"/>
  <c r="AE96" i="4" s="1"/>
  <c r="AE156" i="4"/>
  <c r="AF153" i="4" s="1"/>
  <c r="AF158" i="4" l="1"/>
  <c r="AF96" i="4" s="1"/>
  <c r="AF156" i="4"/>
  <c r="AG153" i="4" s="1"/>
  <c r="AE97" i="4"/>
  <c r="AE121" i="4"/>
  <c r="AE112" i="4"/>
  <c r="AE117" i="4" s="1"/>
  <c r="AE118" i="4" s="1"/>
  <c r="AA142" i="4"/>
  <c r="AB138" i="4" s="1"/>
  <c r="AA140" i="4"/>
  <c r="AD126" i="4"/>
  <c r="AD127" i="4" s="1"/>
  <c r="AD128" i="4" s="1"/>
  <c r="AD99" i="4"/>
  <c r="AB108" i="4"/>
  <c r="AC100" i="4"/>
  <c r="AC132" i="4"/>
  <c r="AC103" i="4" s="1"/>
  <c r="AC107" i="4" s="1"/>
  <c r="AC108" i="4" s="1"/>
  <c r="AE196" i="4"/>
  <c r="AE199" i="4" s="1"/>
  <c r="AF195" i="4" s="1"/>
  <c r="AD100" i="4" l="1"/>
  <c r="AD132" i="4"/>
  <c r="AD103" i="4" s="1"/>
  <c r="AD107" i="4" s="1"/>
  <c r="AD108" i="4" s="1"/>
  <c r="AE126" i="4"/>
  <c r="AE127" i="4" s="1"/>
  <c r="AE128" i="4" s="1"/>
  <c r="AE99" i="4"/>
  <c r="AF196" i="4"/>
  <c r="AF199" i="4" s="1"/>
  <c r="AG195" i="4" s="1"/>
  <c r="AG156" i="4"/>
  <c r="AH153" i="4" s="1"/>
  <c r="AG158" i="4"/>
  <c r="AG96" i="4" s="1"/>
  <c r="AB142" i="4"/>
  <c r="AC138" i="4" s="1"/>
  <c r="AB140" i="4"/>
  <c r="AF97" i="4"/>
  <c r="AF121" i="4"/>
  <c r="AF112" i="4"/>
  <c r="AF117" i="4" s="1"/>
  <c r="AF118" i="4" s="1"/>
  <c r="AE100" i="4" l="1"/>
  <c r="AE132" i="4"/>
  <c r="AE103" i="4" s="1"/>
  <c r="AE107" i="4" s="1"/>
  <c r="AG196" i="4"/>
  <c r="AG199" i="4" s="1"/>
  <c r="AH195" i="4" s="1"/>
  <c r="AF126" i="4"/>
  <c r="AF127" i="4" s="1"/>
  <c r="AF128" i="4" s="1"/>
  <c r="AF99" i="4"/>
  <c r="AH158" i="4"/>
  <c r="AH96" i="4" s="1"/>
  <c r="AH156" i="4"/>
  <c r="AI153" i="4" s="1"/>
  <c r="AC140" i="4"/>
  <c r="AC142" i="4"/>
  <c r="AD138" i="4" s="1"/>
  <c r="AG97" i="4"/>
  <c r="AG112" i="4"/>
  <c r="AG117" i="4" s="1"/>
  <c r="AG118" i="4" s="1"/>
  <c r="AG121" i="4"/>
  <c r="AF100" i="4" l="1"/>
  <c r="AF132" i="4"/>
  <c r="AF103" i="4" s="1"/>
  <c r="AF107" i="4" s="1"/>
  <c r="AF108" i="4" s="1"/>
  <c r="AH196" i="4"/>
  <c r="AH199" i="4" s="1"/>
  <c r="AI195" i="4" s="1"/>
  <c r="AH97" i="4"/>
  <c r="AH121" i="4"/>
  <c r="AH112" i="4"/>
  <c r="AH117" i="4" s="1"/>
  <c r="AH118" i="4" s="1"/>
  <c r="AG126" i="4"/>
  <c r="AG127" i="4" s="1"/>
  <c r="AG128" i="4" s="1"/>
  <c r="AG99" i="4"/>
  <c r="AD140" i="4"/>
  <c r="AD142" i="4"/>
  <c r="AE138" i="4" s="1"/>
  <c r="AE108" i="4"/>
  <c r="AI158" i="4"/>
  <c r="AI96" i="4" s="1"/>
  <c r="AI156" i="4"/>
  <c r="AJ153" i="4" s="1"/>
  <c r="AI196" i="4" l="1"/>
  <c r="AI199" i="4" s="1"/>
  <c r="AJ195" i="4" s="1"/>
  <c r="AG100" i="4"/>
  <c r="AG132" i="4"/>
  <c r="AG103" i="4" s="1"/>
  <c r="AG107" i="4" s="1"/>
  <c r="AG108" i="4" s="1"/>
  <c r="AH126" i="4"/>
  <c r="AH127" i="4" s="1"/>
  <c r="AH128" i="4" s="1"/>
  <c r="AH99" i="4"/>
  <c r="AI97" i="4"/>
  <c r="AI121" i="4"/>
  <c r="AI112" i="4"/>
  <c r="AI117" i="4" s="1"/>
  <c r="AI118" i="4" s="1"/>
  <c r="AE140" i="4"/>
  <c r="AE142" i="4"/>
  <c r="AF138" i="4" s="1"/>
  <c r="AJ158" i="4"/>
  <c r="AJ96" i="4" s="1"/>
  <c r="AJ156" i="4"/>
  <c r="AK153" i="4" s="1"/>
  <c r="AH100" i="4" l="1"/>
  <c r="AH132" i="4"/>
  <c r="AH103" i="4" s="1"/>
  <c r="AH107" i="4" s="1"/>
  <c r="AH108" i="4" s="1"/>
  <c r="AJ196" i="4"/>
  <c r="AJ199" i="4" s="1"/>
  <c r="AK195" i="4" s="1"/>
  <c r="AF142" i="4"/>
  <c r="AG138" i="4" s="1"/>
  <c r="AF140" i="4"/>
  <c r="AK156" i="4"/>
  <c r="AL153" i="4" s="1"/>
  <c r="AK158" i="4"/>
  <c r="AK96" i="4" s="1"/>
  <c r="AJ97" i="4"/>
  <c r="AJ121" i="4"/>
  <c r="AJ112" i="4"/>
  <c r="AJ117" i="4" s="1"/>
  <c r="AJ118" i="4" s="1"/>
  <c r="AI126" i="4"/>
  <c r="AI127" i="4" s="1"/>
  <c r="AI128" i="4" s="1"/>
  <c r="AI99" i="4"/>
  <c r="AI100" i="4" l="1"/>
  <c r="AI132" i="4"/>
  <c r="AI103" i="4" s="1"/>
  <c r="AI107" i="4" s="1"/>
  <c r="AI108" i="4" s="1"/>
  <c r="AG142" i="4"/>
  <c r="AH138" i="4" s="1"/>
  <c r="AG140" i="4"/>
  <c r="AJ126" i="4"/>
  <c r="AJ127" i="4" s="1"/>
  <c r="AJ128" i="4" s="1"/>
  <c r="AJ99" i="4"/>
  <c r="AK196" i="4"/>
  <c r="AK199" i="4" s="1"/>
  <c r="AL195" i="4" s="1"/>
  <c r="AK97" i="4"/>
  <c r="AK121" i="4"/>
  <c r="AK112" i="4"/>
  <c r="AK117" i="4" s="1"/>
  <c r="AK118" i="4" s="1"/>
  <c r="AL156" i="4"/>
  <c r="AM153" i="4" s="1"/>
  <c r="AL158" i="4"/>
  <c r="AL96" i="4" s="1"/>
  <c r="AJ100" i="4" l="1"/>
  <c r="AJ132" i="4"/>
  <c r="AJ103" i="4" s="1"/>
  <c r="AJ107" i="4" s="1"/>
  <c r="AJ108" i="4" s="1"/>
  <c r="AL97" i="4"/>
  <c r="AL121" i="4"/>
  <c r="AL112" i="4"/>
  <c r="AL117" i="4" s="1"/>
  <c r="AL118" i="4" s="1"/>
  <c r="AM158" i="4"/>
  <c r="AM96" i="4" s="1"/>
  <c r="AM156" i="4"/>
  <c r="AN153" i="4" s="1"/>
  <c r="AK126" i="4"/>
  <c r="AK127" i="4" s="1"/>
  <c r="AK128" i="4" s="1"/>
  <c r="AK99" i="4"/>
  <c r="AH142" i="4"/>
  <c r="AI138" i="4" s="1"/>
  <c r="AH140" i="4"/>
  <c r="AL196" i="4"/>
  <c r="AL199" i="4" s="1"/>
  <c r="AM195" i="4" s="1"/>
  <c r="AK100" i="4" l="1"/>
  <c r="AK132" i="4"/>
  <c r="AK103" i="4" s="1"/>
  <c r="AK107" i="4" s="1"/>
  <c r="AK108" i="4" s="1"/>
  <c r="AN158" i="4"/>
  <c r="AN96" i="4" s="1"/>
  <c r="AN156" i="4"/>
  <c r="AO153" i="4" s="1"/>
  <c r="AM97" i="4"/>
  <c r="AM121" i="4"/>
  <c r="AM112" i="4"/>
  <c r="AM117" i="4" s="1"/>
  <c r="AM118" i="4" s="1"/>
  <c r="AL126" i="4"/>
  <c r="AL127" i="4" s="1"/>
  <c r="AL128" i="4" s="1"/>
  <c r="AL99" i="4"/>
  <c r="AI142" i="4"/>
  <c r="AJ138" i="4" s="1"/>
  <c r="AI140" i="4"/>
  <c r="AM196" i="4"/>
  <c r="AM199" i="4" s="1"/>
  <c r="AN195" i="4" s="1"/>
  <c r="AL100" i="4" l="1"/>
  <c r="AL132" i="4"/>
  <c r="AL103" i="4" s="1"/>
  <c r="AL107" i="4" s="1"/>
  <c r="AL108" i="4" s="1"/>
  <c r="AN196" i="4"/>
  <c r="AN199" i="4" s="1"/>
  <c r="AO195" i="4" s="1"/>
  <c r="AN97" i="4"/>
  <c r="AN121" i="4"/>
  <c r="AN112" i="4"/>
  <c r="AN117" i="4" s="1"/>
  <c r="AN118" i="4" s="1"/>
  <c r="AM126" i="4"/>
  <c r="AM127" i="4" s="1"/>
  <c r="AM128" i="4" s="1"/>
  <c r="AM99" i="4"/>
  <c r="AO156" i="4"/>
  <c r="AP153" i="4" s="1"/>
  <c r="AO158" i="4"/>
  <c r="AO96" i="4" s="1"/>
  <c r="AJ142" i="4"/>
  <c r="AK138" i="4" s="1"/>
  <c r="AJ140" i="4"/>
  <c r="AO196" i="4" l="1"/>
  <c r="AO199" i="4" s="1"/>
  <c r="AP195" i="4" s="1"/>
  <c r="AM100" i="4"/>
  <c r="AM132" i="4"/>
  <c r="AM103" i="4" s="1"/>
  <c r="AM107" i="4" s="1"/>
  <c r="AM108" i="4" s="1"/>
  <c r="AK140" i="4"/>
  <c r="AK142" i="4"/>
  <c r="AL138" i="4" s="1"/>
  <c r="AO97" i="4"/>
  <c r="AO112" i="4"/>
  <c r="AO117" i="4" s="1"/>
  <c r="AO118" i="4" s="1"/>
  <c r="AO121" i="4"/>
  <c r="AP158" i="4"/>
  <c r="AP96" i="4" s="1"/>
  <c r="AP156" i="4"/>
  <c r="AQ153" i="4" s="1"/>
  <c r="AN126" i="4"/>
  <c r="AN127" i="4" s="1"/>
  <c r="AN128" i="4" s="1"/>
  <c r="AN99" i="4"/>
  <c r="AN100" i="4" l="1"/>
  <c r="AN132" i="4"/>
  <c r="AN103" i="4" s="1"/>
  <c r="AN107" i="4" s="1"/>
  <c r="AN108" i="4" s="1"/>
  <c r="AP196" i="4"/>
  <c r="AP199" i="4" s="1"/>
  <c r="AQ195" i="4" s="1"/>
  <c r="AL140" i="4"/>
  <c r="AL142" i="4"/>
  <c r="AM138" i="4" s="1"/>
  <c r="AQ158" i="4"/>
  <c r="AQ96" i="4" s="1"/>
  <c r="AQ156" i="4"/>
  <c r="AP97" i="4"/>
  <c r="AP121" i="4"/>
  <c r="AP112" i="4"/>
  <c r="AP117" i="4" s="1"/>
  <c r="AP118" i="4" s="1"/>
  <c r="AO126" i="4"/>
  <c r="AO127" i="4" s="1"/>
  <c r="AO128" i="4" s="1"/>
  <c r="AO99" i="4"/>
  <c r="AQ196" i="4" l="1"/>
  <c r="AQ199" i="4" s="1"/>
  <c r="AP126" i="4"/>
  <c r="AP127" i="4" s="1"/>
  <c r="AP128" i="4" s="1"/>
  <c r="AP99" i="4"/>
  <c r="AQ97" i="4"/>
  <c r="AQ121" i="4"/>
  <c r="AQ112" i="4"/>
  <c r="AQ117" i="4" s="1"/>
  <c r="AQ118" i="4" s="1"/>
  <c r="AM140" i="4"/>
  <c r="AM142" i="4"/>
  <c r="AN138" i="4" s="1"/>
  <c r="AO100" i="4"/>
  <c r="AO132" i="4"/>
  <c r="AO103" i="4" s="1"/>
  <c r="AO107" i="4" s="1"/>
  <c r="AO108" i="4" s="1"/>
  <c r="AQ126" i="4" l="1"/>
  <c r="AQ127" i="4" s="1"/>
  <c r="AQ128" i="4" s="1"/>
  <c r="AQ99" i="4"/>
  <c r="AP100" i="4"/>
  <c r="AP132" i="4"/>
  <c r="AP103" i="4" s="1"/>
  <c r="AP107" i="4" s="1"/>
  <c r="AP108" i="4" s="1"/>
  <c r="AN142" i="4"/>
  <c r="AO138" i="4" s="1"/>
  <c r="AN140" i="4"/>
  <c r="AO142" i="4" l="1"/>
  <c r="AP138" i="4" s="1"/>
  <c r="AO140" i="4"/>
  <c r="AQ100" i="4"/>
  <c r="AQ132" i="4"/>
  <c r="AQ103" i="4" s="1"/>
  <c r="AQ107" i="4" s="1"/>
  <c r="H33" i="4" s="1"/>
  <c r="AQ108" i="4" l="1"/>
  <c r="C109" i="4"/>
  <c r="AP142" i="4"/>
  <c r="AQ138" i="4" s="1"/>
  <c r="AP140" i="4"/>
  <c r="AQ142" i="4" l="1"/>
  <c r="AQ140" i="4"/>
  <c r="U46" i="2" l="1"/>
  <c r="AG46" i="2"/>
  <c r="AF46" i="2"/>
  <c r="V46" i="2"/>
  <c r="AB46" i="2"/>
  <c r="Q46" i="2"/>
  <c r="T46" i="2"/>
  <c r="R46" i="2"/>
  <c r="AA46" i="2"/>
  <c r="Z46" i="2"/>
  <c r="Y46" i="2"/>
  <c r="AE46" i="2"/>
  <c r="W46" i="2"/>
  <c r="AH46" i="2"/>
  <c r="F46" i="2" l="1"/>
  <c r="E46" i="2"/>
  <c r="G46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<sst xmlns="http://schemas.openxmlformats.org/spreadsheetml/2006/main" count="905" uniqueCount="507">
  <si>
    <t>Prepared by:</t>
  </si>
  <si>
    <t>Energy and Environmental Economics, Inc.</t>
  </si>
  <si>
    <t>44 Montgomery Street, Suite 1500</t>
  </si>
  <si>
    <t>San Francisco, CA 94104</t>
  </si>
  <si>
    <t>Phone: 415-391-5100</t>
  </si>
  <si>
    <t>Cell Color Coding</t>
  </si>
  <si>
    <t>Input</t>
  </si>
  <si>
    <t>Calculated Input</t>
  </si>
  <si>
    <t>Dropdown Menu Input</t>
  </si>
  <si>
    <t>Lookup Formula</t>
  </si>
  <si>
    <t>Yearly Lookup Value</t>
  </si>
  <si>
    <t>Final Outputs</t>
  </si>
  <si>
    <t>Values Pasted from Calculation/Macros</t>
  </si>
  <si>
    <t>Capacity</t>
  </si>
  <si>
    <t>Total Levelized Fixed Costs ($2018)</t>
  </si>
  <si>
    <t>Total Levelized Fixed Costs Nominal</t>
  </si>
  <si>
    <t>ELCC Adjustment</t>
  </si>
  <si>
    <t>ELCC Adjusted Nominal Fixed Costs</t>
  </si>
  <si>
    <t>Revenues</t>
  </si>
  <si>
    <t>Net Revenue</t>
  </si>
  <si>
    <t>Net CONE</t>
  </si>
  <si>
    <t>Annual Charge (kWh)</t>
  </si>
  <si>
    <t>Parasitic Losses (kWh)</t>
  </si>
  <si>
    <t>Annual Discharge (kWh)</t>
  </si>
  <si>
    <t>Round Trip Efficiency</t>
  </si>
  <si>
    <t>Input Value</t>
  </si>
  <si>
    <t>Tax Rate</t>
  </si>
  <si>
    <t>Federal Tax Rate</t>
  </si>
  <si>
    <t>State Tax Rate</t>
  </si>
  <si>
    <t>Effective Tax Rate</t>
  </si>
  <si>
    <t>Utility-scale Li-ion Battery Cost (Standalone, No ITC)</t>
  </si>
  <si>
    <t>Battery duration (hours)</t>
  </si>
  <si>
    <t>IRP Pro Forma Dollar Year</t>
  </si>
  <si>
    <t>RESOLVE Years Only --&gt;</t>
  </si>
  <si>
    <t>RESOLVE Outputs: Storage Build</t>
  </si>
  <si>
    <t>Capacity Contribution</t>
  </si>
  <si>
    <t>Cumulative Battery Storage Additions (MW)</t>
  </si>
  <si>
    <t>Energy Storage Fixed Costs ($2018)</t>
  </si>
  <si>
    <t>Capital</t>
  </si>
  <si>
    <t>Capacity ($/kW)</t>
  </si>
  <si>
    <t>Energy ($/kWh Installed)</t>
  </si>
  <si>
    <t>Fixed O&amp;M</t>
  </si>
  <si>
    <t>Periodic Replacement and Augmentation</t>
  </si>
  <si>
    <t>Interconnection</t>
  </si>
  <si>
    <t>Total Fixed Cost</t>
  </si>
  <si>
    <t>Generic Resource Cost &amp; Performance Inputs</t>
  </si>
  <si>
    <t>All costs expressed in 2016 dollars</t>
  </si>
  <si>
    <t>Year</t>
  </si>
  <si>
    <t>$/kW-Yr.</t>
  </si>
  <si>
    <t>Cost Basis Year</t>
  </si>
  <si>
    <t>Result from Pro Forma</t>
  </si>
  <si>
    <t>Select Year</t>
  </si>
  <si>
    <t>Lookup from Input table</t>
  </si>
  <si>
    <t xml:space="preserve">Resource </t>
  </si>
  <si>
    <t>Utility-scale Battery - Li [Capacity] - No ITC</t>
  </si>
  <si>
    <t>Utility-scale Battery - Li [Energy] - No ITC</t>
  </si>
  <si>
    <t>Category for Cost Reductions</t>
  </si>
  <si>
    <t>Resource Category</t>
  </si>
  <si>
    <t>Battery Storage-Standalone</t>
  </si>
  <si>
    <t>User Input (from IRP)</t>
  </si>
  <si>
    <t>Technology Type</t>
  </si>
  <si>
    <t>Lithium ion (Grid) - Capacity</t>
  </si>
  <si>
    <t>Lithium ion (Grid) - Energy</t>
  </si>
  <si>
    <t>Active Cost Trajectory Scenario</t>
  </si>
  <si>
    <t>Mid</t>
  </si>
  <si>
    <t>Lookup Value</t>
  </si>
  <si>
    <t>Performance Inputs</t>
  </si>
  <si>
    <t>Units</t>
  </si>
  <si>
    <t>Plant Output</t>
  </si>
  <si>
    <t>Installed Capacity</t>
  </si>
  <si>
    <t>MW-ac</t>
  </si>
  <si>
    <t>4 hours duration</t>
  </si>
  <si>
    <t>DC - AC derate</t>
  </si>
  <si>
    <t>Values hard-coded by macros</t>
  </si>
  <si>
    <t>Capacity Factor</t>
  </si>
  <si>
    <t>%</t>
  </si>
  <si>
    <t>Degradation</t>
  </si>
  <si>
    <t>%/yr</t>
  </si>
  <si>
    <t>Plant Cost Inputs</t>
  </si>
  <si>
    <t>Capital Costs</t>
  </si>
  <si>
    <t>Installed Cost, 2018</t>
  </si>
  <si>
    <t>$/kW-ac</t>
  </si>
  <si>
    <t>Progress Multiplier</t>
  </si>
  <si>
    <t>$/kWh Installed</t>
  </si>
  <si>
    <t>Interconnection Costs</t>
  </si>
  <si>
    <t>Interconnection Fraction of CapEX</t>
  </si>
  <si>
    <t>Interconnection Cost</t>
  </si>
  <si>
    <t>$/kW</t>
  </si>
  <si>
    <t>Annual Fixed O&amp;M, 2018 COD</t>
  </si>
  <si>
    <t>$/kW-yr</t>
  </si>
  <si>
    <t>Annual Escalation</t>
  </si>
  <si>
    <t>Variable O&amp;M</t>
  </si>
  <si>
    <t>$/MWh</t>
  </si>
  <si>
    <t>Fuel Costs</t>
  </si>
  <si>
    <t>Fuel Type</t>
  </si>
  <si>
    <t>Unit Fuel Cost</t>
  </si>
  <si>
    <t>$/MMBtu</t>
  </si>
  <si>
    <t>Heat Rate</t>
  </si>
  <si>
    <t>Btu/kWh</t>
  </si>
  <si>
    <t>Warranty &amp; Augmentation Costs</t>
  </si>
  <si>
    <t>Annual Warranty Extension Cost</t>
  </si>
  <si>
    <t>Initial Warranty Length</t>
  </si>
  <si>
    <t>yrs</t>
  </si>
  <si>
    <t>Annual Augmentation Cost</t>
  </si>
  <si>
    <t>Property Tax</t>
  </si>
  <si>
    <t>Periodic Replacement</t>
  </si>
  <si>
    <t>Term</t>
  </si>
  <si>
    <t>Cost</t>
  </si>
  <si>
    <t>Financing Selection</t>
  </si>
  <si>
    <t>Financing Inputs</t>
  </si>
  <si>
    <t>Financing Lifetime</t>
  </si>
  <si>
    <t>Debt Period</t>
  </si>
  <si>
    <t>WACC</t>
  </si>
  <si>
    <t>Debt Cost</t>
  </si>
  <si>
    <t>Optimize Leverage (Debt Fraction)?</t>
  </si>
  <si>
    <t>Debt Fraction (if fixed)</t>
  </si>
  <si>
    <t>Max Leverage (if optimized)</t>
  </si>
  <si>
    <t>PPA Escalation Rate</t>
  </si>
  <si>
    <t>Minimum DSCR</t>
  </si>
  <si>
    <t>Variable Cost Pass-Through</t>
  </si>
  <si>
    <t>Manual Equity Specification</t>
  </si>
  <si>
    <t>Equity Share</t>
  </si>
  <si>
    <t>Implied Equity Return</t>
  </si>
  <si>
    <t>Tax Assumptions</t>
  </si>
  <si>
    <t>Toggle</t>
  </si>
  <si>
    <t>Enable Tax Credits</t>
  </si>
  <si>
    <t>-</t>
  </si>
  <si>
    <t>ITC</t>
  </si>
  <si>
    <t>Credit</t>
  </si>
  <si>
    <t>Capital Costs Eligible</t>
  </si>
  <si>
    <t>PTC</t>
  </si>
  <si>
    <t>Unit Credit</t>
  </si>
  <si>
    <t>Duration</t>
  </si>
  <si>
    <t>MACRS</t>
  </si>
  <si>
    <t>Include Bonus Depreciation?</t>
  </si>
  <si>
    <t>Levelized Cost of Energy</t>
  </si>
  <si>
    <t>(by component)</t>
  </si>
  <si>
    <t>Warranty, Augmentation, Periodic Replacement</t>
  </si>
  <si>
    <t>Fuel</t>
  </si>
  <si>
    <t>Carbon</t>
  </si>
  <si>
    <t>Total</t>
  </si>
  <si>
    <t>Levelized Fixed Cost</t>
  </si>
  <si>
    <t>Property Tax &amp; Insurance</t>
  </si>
  <si>
    <t>Project Finance Details</t>
  </si>
  <si>
    <t>Debt Share</t>
  </si>
  <si>
    <t>Equity Return</t>
  </si>
  <si>
    <t>Debt Return</t>
  </si>
  <si>
    <t>After-Tax WACC</t>
  </si>
  <si>
    <t>Levelized Cost Escalation</t>
  </si>
  <si>
    <t>NPV Equity Return</t>
  </si>
  <si>
    <t>$</t>
  </si>
  <si>
    <t>DSCR (&gt;1.4 desired for IPP)</t>
  </si>
  <si>
    <t>Yearly Lookup Tables</t>
  </si>
  <si>
    <t>Investment Tax Credit</t>
  </si>
  <si>
    <t>(%)</t>
  </si>
  <si>
    <t>Production Tax Credit</t>
  </si>
  <si>
    <t>($/MWh)</t>
  </si>
  <si>
    <t>Cost Reduction Trajectories</t>
  </si>
  <si>
    <t>Active Capital Cost Multipliers</t>
  </si>
  <si>
    <t>Active FO&amp;M Cost Multipliers</t>
  </si>
  <si>
    <t>Financing Cost Trajectories</t>
  </si>
  <si>
    <t>Active WACC Assumptions</t>
  </si>
  <si>
    <t>Active Cost of Debt Assumptions</t>
  </si>
  <si>
    <t>Active Debt Fraction Assumptions</t>
  </si>
  <si>
    <t>Levelized Cost Calculation - Utility-scale Battery - Li [Energy] - No ITC, IPP Financing</t>
  </si>
  <si>
    <t xml:space="preserve">Pro_Forma tab from RESOLVE Resource Costs and Build </t>
  </si>
  <si>
    <t>Resource Cost, Performance, &amp; Financing</t>
  </si>
  <si>
    <t>System Cost</t>
  </si>
  <si>
    <t>Income Tax Assumptions</t>
  </si>
  <si>
    <t>Outputs</t>
  </si>
  <si>
    <t>System Size (MW)</t>
  </si>
  <si>
    <t>Income Tax - Federal</t>
  </si>
  <si>
    <t>Replacement Frequency</t>
  </si>
  <si>
    <t>Duration (hours)</t>
  </si>
  <si>
    <t>Income Tax - State</t>
  </si>
  <si>
    <t>Capacity Costs ($/kW)</t>
  </si>
  <si>
    <t>Income Tax - Effective Tax Rate</t>
  </si>
  <si>
    <t>Contract Year</t>
  </si>
  <si>
    <t>Repl. Cost</t>
  </si>
  <si>
    <t>Energy Costs ($/kWh Installed)</t>
  </si>
  <si>
    <t>Tax Credit - Federal PTC ($/MWh)</t>
  </si>
  <si>
    <t>System Cost ($/kW)</t>
  </si>
  <si>
    <t>Tax Credit - Federal PTC (Years)</t>
  </si>
  <si>
    <t>Capacity Costs ($)</t>
  </si>
  <si>
    <t>Tax Credit - Federal PTC Escalator</t>
  </si>
  <si>
    <t>Warranty</t>
  </si>
  <si>
    <t>Energy Costs ($)</t>
  </si>
  <si>
    <t>Tax Credit - Federal ITC (%)</t>
  </si>
  <si>
    <t>Augmentation</t>
  </si>
  <si>
    <t>System Cost ($)</t>
  </si>
  <si>
    <t>Tax Credit - Federal ITC - % of Capital Cost Eligibile</t>
  </si>
  <si>
    <t>Initial debt service reserve funding ($)</t>
  </si>
  <si>
    <t>Tax Depreciation Basis Reduction - % of ITC</t>
  </si>
  <si>
    <t>Total System Cost ($)</t>
  </si>
  <si>
    <t>MACRS Term</t>
  </si>
  <si>
    <t>Bonus Depreciation</t>
  </si>
  <si>
    <t>Interconnection Cost ($/kW)</t>
  </si>
  <si>
    <t>Bonus Depreciation Amount</t>
  </si>
  <si>
    <t>Interconnection Cost ($)</t>
  </si>
  <si>
    <t>Financing</t>
  </si>
  <si>
    <t>Optimize Leverage for IPP Return?</t>
  </si>
  <si>
    <t>Capacity Factor (AC)</t>
  </si>
  <si>
    <t>Annual Output for Year 1 (kWh)</t>
  </si>
  <si>
    <t>% Financed w/ debt</t>
  </si>
  <si>
    <t>Degradation Factor</t>
  </si>
  <si>
    <t>Cost of Debt</t>
  </si>
  <si>
    <t>System Economic Life (=PPA Term)</t>
  </si>
  <si>
    <t>Cost of Equity</t>
  </si>
  <si>
    <t>Debt period in years</t>
  </si>
  <si>
    <t>Ongoing Costs</t>
  </si>
  <si>
    <t>Fixed O&amp;M Costs Capacity ($/kW-yr)</t>
  </si>
  <si>
    <t>Interest Rate on DSRF</t>
  </si>
  <si>
    <t>Fixed O&amp;M Costs Energy ($/kWh Installed-yr)</t>
  </si>
  <si>
    <t>Fixed O&amp;M Costs ($/kW-yr)</t>
  </si>
  <si>
    <t>Variable Cost Pass Through</t>
  </si>
  <si>
    <t>Fixed O&amp;M Costs Escalator (%/yr)</t>
  </si>
  <si>
    <t>Equity Amount</t>
  </si>
  <si>
    <t>Variable O&amp;M Costs ($/MWh)</t>
  </si>
  <si>
    <t>Debt Amount</t>
  </si>
  <si>
    <t>Variable O&amp;M Costs Escalator (%/yr)</t>
  </si>
  <si>
    <t>Fuel Costs ($/MMbtu)</t>
  </si>
  <si>
    <t>NPV Equity Return Check</t>
  </si>
  <si>
    <t>Fuel Escalator (%/yr)</t>
  </si>
  <si>
    <t>Target DSCR</t>
  </si>
  <si>
    <t>Heat Rate (Btu/kWh)</t>
  </si>
  <si>
    <t>Active DSCR</t>
  </si>
  <si>
    <t>CO2 Allowance Price ($/ton)</t>
  </si>
  <si>
    <t>CO2 Allowance Price Escalation (%/yr)</t>
  </si>
  <si>
    <t xml:space="preserve">CO2 Emission Rate by Fuel (lb/MMBtu) </t>
  </si>
  <si>
    <t>Property Tax (%)</t>
  </si>
  <si>
    <t>Insurance (%)</t>
  </si>
  <si>
    <t>Warranty (%)</t>
  </si>
  <si>
    <t>Warranty Start Year</t>
  </si>
  <si>
    <t>Not used</t>
  </si>
  <si>
    <t>Augmentation (%) (per kWh installed)</t>
  </si>
  <si>
    <t>IPP Pro Forma</t>
  </si>
  <si>
    <t>Levelization of Cost by Category</t>
  </si>
  <si>
    <t>Debt costs</t>
  </si>
  <si>
    <t>Fixed Operations &amp; Maintenance</t>
  </si>
  <si>
    <t>Variable Operations &amp; Maintenance</t>
  </si>
  <si>
    <t>Carbon Cost</t>
  </si>
  <si>
    <t>Discount Rate</t>
  </si>
  <si>
    <t>NPV Energy</t>
  </si>
  <si>
    <t>NPV Capacity</t>
  </si>
  <si>
    <t>Levelized All-In Costs ($/MWh)</t>
  </si>
  <si>
    <t>Levelized Fixed Costs ($/MWh)</t>
  </si>
  <si>
    <t>Cash Flow</t>
  </si>
  <si>
    <t>Energy Production (MWh)</t>
  </si>
  <si>
    <t>Capacity (MW)</t>
  </si>
  <si>
    <t>Cost of Generation ($/MWh)</t>
  </si>
  <si>
    <t xml:space="preserve">Operating Revenue </t>
  </si>
  <si>
    <t>Total Revenue</t>
  </si>
  <si>
    <t>Fixed O&amp;M Costs</t>
  </si>
  <si>
    <t>Variable O&amp;M Cost</t>
  </si>
  <si>
    <t>CO2 Abatement Costs</t>
  </si>
  <si>
    <t>Insurance</t>
  </si>
  <si>
    <t>Total Costs</t>
  </si>
  <si>
    <t>Operating Profit</t>
  </si>
  <si>
    <t>Interest Expense</t>
  </si>
  <si>
    <t>Loan Repayment Expense (Principal)</t>
  </si>
  <si>
    <t>Debt Service Reserve</t>
  </si>
  <si>
    <t>Interest earned on DSRF</t>
  </si>
  <si>
    <t>Net Finance Costs</t>
  </si>
  <si>
    <t>State tax refund/(paid)</t>
  </si>
  <si>
    <t>Federal tax refund (paid)</t>
  </si>
  <si>
    <t>Tax Credit - Federal PTC</t>
  </si>
  <si>
    <t>Tax Credit - Federal ITC</t>
  </si>
  <si>
    <t>Taxes Refunded/(Paid)</t>
  </si>
  <si>
    <t>Equity Investment</t>
  </si>
  <si>
    <t>After-Tax Equity Cash Flow</t>
  </si>
  <si>
    <t>Equity Cash Flow per kW</t>
  </si>
  <si>
    <t>Taxes</t>
  </si>
  <si>
    <t>State Taxes</t>
  </si>
  <si>
    <t>Taxable operating income</t>
  </si>
  <si>
    <t>Depreciation schedule (assumes LLP entity)</t>
  </si>
  <si>
    <t>Depreciation Basis</t>
  </si>
  <si>
    <t>Depreciation</t>
  </si>
  <si>
    <t>Interest</t>
  </si>
  <si>
    <t>Taxable income</t>
  </si>
  <si>
    <t>Tax  refund/(paid)</t>
  </si>
  <si>
    <t>Federal Taxes</t>
  </si>
  <si>
    <t>Depreciation schedule</t>
  </si>
  <si>
    <t>Depreciation basis</t>
  </si>
  <si>
    <t>State taxes rebate/(paid)</t>
  </si>
  <si>
    <t>Tax refund/(paid)</t>
  </si>
  <si>
    <t>Production tax credit</t>
  </si>
  <si>
    <t>Investment tax credit</t>
  </si>
  <si>
    <t>Total tax refund/(paid)</t>
  </si>
  <si>
    <t>Debt Schedule</t>
  </si>
  <si>
    <t>Debt Term Flag</t>
  </si>
  <si>
    <t>Beginning Balance</t>
  </si>
  <si>
    <t>Debt Service</t>
  </si>
  <si>
    <t>Principal</t>
  </si>
  <si>
    <t>Ending Balance</t>
  </si>
  <si>
    <t>DSCR</t>
  </si>
  <si>
    <t>Cash Flow Available for Debt Service (CFADS)</t>
  </si>
  <si>
    <t>Debt Service Coverage Ratio (DSCR)</t>
  </si>
  <si>
    <t>Average of DSCRs</t>
  </si>
  <si>
    <t>Debt Service Fund</t>
  </si>
  <si>
    <t>Initial Funding</t>
  </si>
  <si>
    <t>Withdrawal</t>
  </si>
  <si>
    <t>Interest Rate</t>
  </si>
  <si>
    <t>Earned Interest</t>
  </si>
  <si>
    <t>Check:  CFADS yields sufficient coverage</t>
  </si>
  <si>
    <t>Sum of Debt Service</t>
  </si>
  <si>
    <t>Total CFADS required</t>
  </si>
  <si>
    <t>CFADS over debt term</t>
  </si>
  <si>
    <t>Net</t>
  </si>
  <si>
    <t>MACRS Schedules</t>
  </si>
  <si>
    <t>Active</t>
  </si>
  <si>
    <t>Periodic O&amp;M</t>
  </si>
  <si>
    <t>Interest Earned</t>
  </si>
  <si>
    <t>Contributions</t>
  </si>
  <si>
    <t>Expenses</t>
  </si>
  <si>
    <t>Expense</t>
  </si>
  <si>
    <t xml:space="preserve">First Value </t>
  </si>
  <si>
    <t>Page/Cell</t>
  </si>
  <si>
    <t>Notes</t>
  </si>
  <si>
    <t>Name</t>
  </si>
  <si>
    <t>Header</t>
  </si>
  <si>
    <t>Section/Sheet</t>
  </si>
  <si>
    <t>Document Name</t>
  </si>
  <si>
    <t>Date Accessed</t>
  </si>
  <si>
    <t>Date Published</t>
  </si>
  <si>
    <t>Organization</t>
  </si>
  <si>
    <t>Proceeding</t>
  </si>
  <si>
    <t>File Name</t>
  </si>
  <si>
    <t>Proceeding Link</t>
  </si>
  <si>
    <t>Document Link</t>
  </si>
  <si>
    <t>Document Parent Site</t>
  </si>
  <si>
    <t>Resource_Characteristics</t>
  </si>
  <si>
    <t>CPUC</t>
  </si>
  <si>
    <t>IRP</t>
  </si>
  <si>
    <t>Pro Forma</t>
  </si>
  <si>
    <t>Pro_Forma</t>
  </si>
  <si>
    <t>$/kW-Yr</t>
  </si>
  <si>
    <t>Output_Table</t>
  </si>
  <si>
    <t>Date</t>
  </si>
  <si>
    <t>Tab</t>
  </si>
  <si>
    <t>Version v1b</t>
  </si>
  <si>
    <t>Cover</t>
  </si>
  <si>
    <t>Added Cover tab to be consistent with Electric model</t>
  </si>
  <si>
    <t>Version v1c</t>
  </si>
  <si>
    <t>D20:AH24; D31:AH31</t>
  </si>
  <si>
    <t>Update outputs from ReSTORE using updated AS prices</t>
  </si>
  <si>
    <t>D25:AH25</t>
  </si>
  <si>
    <t>Fix the formula in the cell. Originally it was a fixed value, not a sum of the four components above</t>
  </si>
  <si>
    <t>Version v1a</t>
  </si>
  <si>
    <t>IRP Inputs</t>
  </si>
  <si>
    <t>D14</t>
  </si>
  <si>
    <t>Updated storage build</t>
  </si>
  <si>
    <t>C10</t>
  </si>
  <si>
    <t>Updated dollar year to be 2018</t>
  </si>
  <si>
    <t>E26</t>
  </si>
  <si>
    <t>Updated annual cost results from RESOLVE Resource Costs and Build Output_Table Tab</t>
  </si>
  <si>
    <t>H17</t>
  </si>
  <si>
    <t>Updated value from updated pro forma</t>
  </si>
  <si>
    <t>Battery Costs</t>
  </si>
  <si>
    <t>F9</t>
  </si>
  <si>
    <t>Updated Storage Costs from RESOLVE Resource Costs and Build Resource Characteristics Tab</t>
  </si>
  <si>
    <t xml:space="preserve">Nominal discount rate </t>
  </si>
  <si>
    <t>Real discount rate</t>
  </si>
  <si>
    <t>Capacity ($/KW-nameplate)</t>
  </si>
  <si>
    <t>Total Levelized Fixed Costs ($2018/nameplate kW-yr)</t>
  </si>
  <si>
    <t>Capacity ($2018/nameplate kW-yr)</t>
  </si>
  <si>
    <t>Lifetime costs of asset installed at year x discounted at that year's ELCC</t>
  </si>
  <si>
    <t>C9</t>
  </si>
  <si>
    <t>Updated inflation rate from 2.2% to 2% to align with IRP</t>
  </si>
  <si>
    <t xml:space="preserve">Escalation rate </t>
  </si>
  <si>
    <t>C11</t>
  </si>
  <si>
    <t>Storage Lifetime</t>
  </si>
  <si>
    <t>New Replacement Fixed Costs ($2018/nameplate kW-yr)</t>
  </si>
  <si>
    <t>After Tax Net Revenue ($2018/nameplate kW-yr)</t>
  </si>
  <si>
    <t>RECC ($nominal/effective kW-yr)</t>
  </si>
  <si>
    <t>Net Energy Revenue ($nominal)</t>
  </si>
  <si>
    <t>Regulation Down Revenues ($nominal)</t>
  </si>
  <si>
    <t>Regulation Up Reveues ($nominal)</t>
  </si>
  <si>
    <t>Spin Revenues ($nominal)</t>
  </si>
  <si>
    <t>Total Revenues ($nominal)</t>
  </si>
  <si>
    <t>Energy Revenue/Annual Discharge ($nominal/MWh)</t>
  </si>
  <si>
    <t>Avoided Capacity Costs</t>
  </si>
  <si>
    <t>Net Revenue ($nominal/nameplate kW-yr)</t>
  </si>
  <si>
    <t>After Tax Net Revenue  ($nominal/nameplate kW-yr)</t>
  </si>
  <si>
    <t>Fixed Costs</t>
  </si>
  <si>
    <t>RECC</t>
  </si>
  <si>
    <t>Replaced the previous Net CONE spreadsheet with new Real Economic Carrying Charge approach to calculate capacity value</t>
  </si>
  <si>
    <t>Marginal ELCC (%)</t>
  </si>
  <si>
    <t>Effective Battery Storage Capacity (MW)</t>
  </si>
  <si>
    <t>Updated formula for Real Discount Rate = (1+Nominal Discount Rate)/(1+Escalation Rate)-1</t>
  </si>
  <si>
    <t>Updated to equal WACC</t>
  </si>
  <si>
    <t>C16:N24</t>
  </si>
  <si>
    <t>Updated Capacity Contribution percentages and storage build based on RESOLVE No New DER case</t>
  </si>
  <si>
    <t>D26:N26</t>
  </si>
  <si>
    <t>Updated ELCC from average to marginal</t>
  </si>
  <si>
    <t>D27:N27</t>
  </si>
  <si>
    <t>Updated Effective Battery Storage Capacity (MW) to be calculated using Marginal ELCC</t>
  </si>
  <si>
    <t>E30:AK37</t>
  </si>
  <si>
    <t>Updated Energy Storage Fixed Costs from Box\WES-E3-External\CPUC IRP\2021 PSP NoNewDER RESOLVE Package\CPUC IRP RESOLVE_Resource Costs and Build_2021-09-24_FINAL.xlsb, including add Interconnection costs. See slide 114 of RESOLVE Preferred System Plan (PSP) Modeling Results presentation for decision to include interconnection costs in PSP. https://www.cpuc.ca.gov/-/media/cpuc-website/divisions/energy-division/documents/integrated-resource-plan-and-long-term-procurement-plan-irp-ltpp/2019-2020-irp-events-and-materials/psp-resolve-ruling-presentation.pdf</t>
  </si>
  <si>
    <t>C11:AG14</t>
  </si>
  <si>
    <t>C17:AG19</t>
  </si>
  <si>
    <t>Class</t>
  </si>
  <si>
    <t>n/a</t>
  </si>
  <si>
    <t>Calculated Levelized Costs, 2018</t>
  </si>
  <si>
    <t>F8:G341</t>
  </si>
  <si>
    <t>Update battery capacity and energy costs from IRP No New DER case</t>
  </si>
  <si>
    <t>C41:AK42</t>
  </si>
  <si>
    <t>Updated formula for total cost to include interconnection costs</t>
  </si>
  <si>
    <t>Updated nominal discount rate to match updated WACC in Electric Model.</t>
  </si>
  <si>
    <t>Cells</t>
  </si>
  <si>
    <t>Changes</t>
  </si>
  <si>
    <t>Model Version</t>
  </si>
  <si>
    <t>CPUC IRP RESOLVE_Resource Costs and Build_2021-09-24_FINAL</t>
  </si>
  <si>
    <t>https://files.cpuc.ca.gov/energy/modeling/2021%20PSP%20NoNewDER%20RESOLVE%20Package.zip</t>
  </si>
  <si>
    <t xml:space="preserve">https://www.cpuc.ca.gov/industries-and-topics/electrical-energy/electric-power-procurement/long-term-procurement-planning/2019-20-irp-events-and-materials </t>
  </si>
  <si>
    <t>$/kWh</t>
  </si>
  <si>
    <t>IRP Inputs, C30:AJ30</t>
  </si>
  <si>
    <t>IRP Inputs, C31:AJ31</t>
  </si>
  <si>
    <t>IRP Inputs, C32:AJ32</t>
  </si>
  <si>
    <t>IRP Inputs, C33:AJ33</t>
  </si>
  <si>
    <t>IRP Inputs, C34:AJ34</t>
  </si>
  <si>
    <t>IRP Inputs, C35:AJ35</t>
  </si>
  <si>
    <t>IRP Inputs, C36:AJ36</t>
  </si>
  <si>
    <t>IRP Inputs, C37:AJ37</t>
  </si>
  <si>
    <t>Capital ($/kW-yr)</t>
  </si>
  <si>
    <t>Fixed O&amp;M ($/kW-yr)</t>
  </si>
  <si>
    <t>Periodic Replacement and Augmentation ($/kW-yr)</t>
  </si>
  <si>
    <t>Interconnection ($/kW-yr)</t>
  </si>
  <si>
    <t>CPUC IRP RESOLVE_Resource Costs and Build_2021-09-24_FINAL.xlsb</t>
  </si>
  <si>
    <t>IRP Inputs C3</t>
  </si>
  <si>
    <t>IRP Inputs C4</t>
  </si>
  <si>
    <t>IRP Inputs, C16:N24</t>
  </si>
  <si>
    <t>CPUC IRP RESOLVE_Results_Viewer_2021-12-23_NoNewDER_FINAL.xlsb</t>
  </si>
  <si>
    <t>raw_reliability_elcc_surface_fa</t>
  </si>
  <si>
    <t>raw_resource_build</t>
  </si>
  <si>
    <t>Data processed to get marginal ELCCs in presented format.</t>
  </si>
  <si>
    <t>Raw data filtered for elcc_surface_name = Storage_Curve</t>
  </si>
  <si>
    <t>Raw data filtered for technology = Li_Battery</t>
  </si>
  <si>
    <t>energy avoided costs savings from all techs ($)</t>
  </si>
  <si>
    <t>regulation down revenues from storage ($)</t>
  </si>
  <si>
    <t>regulation up revenues from storage ($)</t>
  </si>
  <si>
    <t>spinning reserves revenues from storage ($)</t>
  </si>
  <si>
    <t>$ nominal</t>
  </si>
  <si>
    <t>RECC, C11:AH11</t>
  </si>
  <si>
    <t>RECC, C12:AH12</t>
  </si>
  <si>
    <t>RECC, C13:AH13</t>
  </si>
  <si>
    <t>RECC, C14:AH14</t>
  </si>
  <si>
    <t>annual charge from storage (kWh)</t>
  </si>
  <si>
    <t>annual generation/discharge from storage (kWh)</t>
  </si>
  <si>
    <t>RECC, C17:AH17</t>
  </si>
  <si>
    <t>RECC, C19:AH19</t>
  </si>
  <si>
    <t>kWh</t>
  </si>
  <si>
    <t>Entire tab from source, with some additional linkage to other sheets</t>
  </si>
  <si>
    <t>Pro Forma, H11</t>
  </si>
  <si>
    <t>Pro Forma, H14</t>
  </si>
  <si>
    <t>Pro Forma, H16</t>
  </si>
  <si>
    <t>Pro Forma, H17</t>
  </si>
  <si>
    <t>Pro Forma, H20</t>
  </si>
  <si>
    <t>Pro Forma, H28</t>
  </si>
  <si>
    <t>Pro Forma, H29</t>
  </si>
  <si>
    <t>Utility-scale Battery - Li [Capacity] - No ITC,
Utility-scale Battery - Li [Energy] - No ITC</t>
  </si>
  <si>
    <t>Dollar Year</t>
  </si>
  <si>
    <t>Output Dollar Year</t>
  </si>
  <si>
    <t>From 2022 Electric Model averaged across PG&amp;E, SCE, and SDG&amp;E</t>
  </si>
  <si>
    <t>Inflation Rate</t>
  </si>
  <si>
    <t>Lists</t>
  </si>
  <si>
    <t>CPUC IRP RESOLVE_Scenario Tool 2021-12-23_NoNewDER_FINAL</t>
  </si>
  <si>
    <t>Updated Revenues from storage from RESTORE modelling</t>
  </si>
  <si>
    <t>Updated Annual Charge and Annual Discharge from RESTORE modelling</t>
  </si>
  <si>
    <t>Capacity Avoided Cost Calculator</t>
  </si>
  <si>
    <t>annual_run_results.csv (RESTORE results)</t>
  </si>
  <si>
    <t>NPV LCOE Over Lifetime</t>
  </si>
  <si>
    <t>First-Year Energy &amp; AS Revenues</t>
  </si>
  <si>
    <t>Marginal ELCC</t>
  </si>
  <si>
    <t>This reflects the levelized cost for a new storage resource in a specific year, intended to serve as a proxy for a 20-year cost-based PPA assumed to escalate at inflation</t>
  </si>
  <si>
    <r>
      <rPr>
        <i/>
        <sz val="11"/>
        <color theme="1"/>
        <rFont val="Calibri"/>
        <family val="2"/>
        <scheme val="minor"/>
      </rPr>
      <t xml:space="preserve">This is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the deferral value for a storage resource in a specific year - see Step 2</t>
    </r>
  </si>
  <si>
    <t>Because the costs for energy storage resources improve over time, the levelized cost declines in each successive vintage of installation</t>
  </si>
  <si>
    <t>This is the value of a one-year deferral of a storage investment in each year - otherwise known as the real economic carrying charge</t>
  </si>
  <si>
    <t>This is calculated as the NPV difference between the costs of a storage resource installed in one year vs. the NPV of costs if that resource is installed in the successive vintage</t>
  </si>
  <si>
    <t>Note that this calculation accounts for the full lifecycle cost of the resource + its successive replacements at the end of its useful life</t>
  </si>
  <si>
    <t>Storage costs are assumed to flatten beyond 2050, meaning that the last year needed for replacement cost analysis is 2070</t>
  </si>
  <si>
    <t>Real Economic Carrying Charge</t>
  </si>
  <si>
    <t>NPV check: NPV cost of storage resource over its lifetime should match NPV avoided cost over same period</t>
  </si>
  <si>
    <t>Step 2: Calculate Real Economic Carrying Charge ($2018/nameplate kW-yr)</t>
  </si>
  <si>
    <t>Step 1: Calculate Annual Fixed Cost by Installation Year, Including Replacement ($2018/nameplate kW-yr)</t>
  </si>
  <si>
    <t>The first-year energy &amp; AS revenues for a storage resource in each year are subtracted from the RECC calculated above</t>
  </si>
  <si>
    <t>For each year's capacity value, the subsequent years' energy revenues are irrelevant, as in a deferral framework they'd cancel each other out</t>
  </si>
  <si>
    <t>Step 3: Deduct First-Year Energy Revenues from Real Economic Carrying Charge to Calculate Net Cost of Storage Nameplate Capacity ($2018/nameplate kW-yr)</t>
  </si>
  <si>
    <t>Step 4: Convert Net Cost of Storage Nameplate Capacity to Effective Capacity ($2018/effective kW-yr)</t>
  </si>
  <si>
    <t>NPV RECC Over Lifetime</t>
  </si>
  <si>
    <t>Dollar year converted from real $2018 to nominal based on IRP inflation rate.</t>
  </si>
  <si>
    <t>2022 ACC Capacity Avoided Cost v1b</t>
  </si>
  <si>
    <t>Updated order of calculation to simplify presentation</t>
  </si>
  <si>
    <t>RECC ($2018/effective kW-yr)</t>
  </si>
  <si>
    <t>Net RECC ($2018/effective kW-yr)</t>
  </si>
  <si>
    <t>Step 5: Convert Net Costs to Nominal $</t>
  </si>
  <si>
    <t>RECC ($/nameplate kW-yr)</t>
  </si>
  <si>
    <t>Net RECC ($/nameplate kW-yr)</t>
  </si>
  <si>
    <t>Net RECC ($2018/nameplate kW-yr)</t>
  </si>
  <si>
    <t>Net RECC ($nominal/nameplate kW-yr)</t>
  </si>
  <si>
    <t>Net RECC ($nominal/effective kW-yr)</t>
  </si>
  <si>
    <t xml:space="preserve"> </t>
  </si>
  <si>
    <t>As with energy revenues, subsequent years' ELCCs are irrelevant, as in a deferral framework the two storage resources provide the same marginal value.</t>
  </si>
  <si>
    <t>Each year's net cost of capacity per nameplate MW of storage is converted to effective capacity based on the marginal ELCC of storage in each year. A floor of $0/kW-yr is also implemented.</t>
  </si>
  <si>
    <t>Updated Revenues from storage based on updated RESTORE modelling with update to energy price scarcity adjustment.</t>
  </si>
  <si>
    <t>AI55:BB86</t>
  </si>
  <si>
    <t>Extended the timeframe of the RECC calculation to include a full lifecycle of the replacement resource.</t>
  </si>
  <si>
    <t>Updated the calculation of replacement costs to include a second replacement, using 2052 values for all replacements occuring after 2052.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</si>
</sst>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_(* #,##0.000_);_(* \(#,##0.000\);_(* &quot;-&quot;??_);_(@_)"/>
    <numFmt numFmtId="171" formatCode="0.000000%"/>
    <numFmt numFmtId="172" formatCode="_(* #,##0.0_);_(* \(#,##0.0\);_(* &quot;-&quot;??_);_(@_)"/>
    <numFmt numFmtId="173" formatCode="&quot;$&quot;#,##0.0_);[Red]\(&quot;$&quot;#,##0.0\)"/>
    <numFmt numFmtId="174" formatCode="&quot;$&quot;#,##0.00000_);[Red]\(&quot;$&quot;#,##0.00000\)"/>
    <numFmt numFmtId="175" formatCode="_(* #,##0.0000_);_(* \(#,##0.0000\);_(* &quot;-&quot;??_);_(@_)"/>
    <numFmt numFmtId="176" formatCode="#,##0.000_);[Red]\(#,##0.000\)"/>
    <numFmt numFmtId="177" formatCode="[$-409]mmmm\ d\,\ 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507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507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0" fontId="1" fillId="0" borderId="0"/>
    <xf numFmtId="9" fontId="6" fillId="0" borderId="0" applyFont="0" applyFill="0" applyBorder="0" applyAlignment="0" applyProtection="0"/>
    <xf numFmtId="0" fontId="2" fillId="2" borderId="15" applyNumberFormat="0" applyBorder="0">
      <alignment horizontal="center" vertical="center" wrapText="1"/>
    </xf>
    <xf numFmtId="0" fontId="11" fillId="5" borderId="16" applyNumberFormat="0">
      <alignment horizontal="left" vertical="center"/>
    </xf>
    <xf numFmtId="10" fontId="12" fillId="0" borderId="0" applyFont="0" applyFill="0" applyBorder="0" applyAlignment="0" applyProtection="0"/>
    <xf numFmtId="0" fontId="13" fillId="0" borderId="17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7" fillId="22" borderId="16" applyNumberFormat="0" applyProtection="0">
      <alignment horizontal="center"/>
    </xf>
    <xf numFmtId="0" fontId="12" fillId="23" borderId="16" applyProtection="0">
      <alignment horizontal="center"/>
    </xf>
    <xf numFmtId="0" fontId="25" fillId="24" borderId="0" applyNumberFormat="0" applyBorder="0" applyAlignment="0" applyProtection="0"/>
  </cellStyleXfs>
  <cellXfs count="664">
    <xf numFmtId="0" fontId="0" fillId="0" borderId="0" xfId="0"/>
    <xf numFmtId="0" fontId="5" fillId="0" borderId="0" xfId="0" applyFont="1"/>
    <xf numFmtId="0" fontId="8" fillId="0" borderId="0" xfId="0" applyFont="1"/>
    <xf numFmtId="0" fontId="5" fillId="0" borderId="1" xfId="0" applyFont="1" applyBorder="1" applyAlignment="1">
      <alignment horizontal="right"/>
    </xf>
    <xf numFmtId="10" fontId="0" fillId="3" borderId="11" xfId="3" applyNumberFormat="1" applyFont="1" applyFill="1" applyBorder="1"/>
    <xf numFmtId="0" fontId="3" fillId="0" borderId="0" xfId="0" applyFont="1"/>
    <xf numFmtId="0" fontId="0" fillId="3" borderId="11" xfId="3" applyNumberFormat="1" applyFont="1" applyFill="1" applyBorder="1"/>
    <xf numFmtId="0" fontId="5" fillId="0" borderId="11" xfId="0" applyFont="1" applyBorder="1" applyAlignment="1">
      <alignment horizontal="right"/>
    </xf>
    <xf numFmtId="0" fontId="0" fillId="3" borderId="11" xfId="1" applyNumberFormat="1" applyFont="1" applyFill="1" applyBorder="1"/>
    <xf numFmtId="0" fontId="4" fillId="0" borderId="0" xfId="0" applyFont="1" applyAlignment="1">
      <alignment horizontal="center"/>
    </xf>
    <xf numFmtId="168" fontId="5" fillId="3" borderId="10" xfId="1" applyNumberFormat="1" applyFont="1" applyFill="1" applyBorder="1"/>
    <xf numFmtId="168" fontId="5" fillId="3" borderId="0" xfId="1" applyNumberFormat="1" applyFont="1" applyFill="1" applyBorder="1"/>
    <xf numFmtId="0" fontId="14" fillId="0" borderId="0" xfId="0" applyFont="1"/>
    <xf numFmtId="0" fontId="10" fillId="0" borderId="0" xfId="0" applyFont="1"/>
    <xf numFmtId="0" fontId="17" fillId="8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8" fontId="5" fillId="0" borderId="0" xfId="1" applyNumberFormat="1" applyFont="1" applyFill="1" applyBorder="1"/>
    <xf numFmtId="0" fontId="5" fillId="0" borderId="10" xfId="0" applyFont="1" applyBorder="1"/>
    <xf numFmtId="0" fontId="5" fillId="0" borderId="9" xfId="0" applyFont="1" applyBorder="1"/>
    <xf numFmtId="0" fontId="0" fillId="0" borderId="0" xfId="0" applyFont="1"/>
    <xf numFmtId="9" fontId="5" fillId="4" borderId="0" xfId="3" applyFont="1" applyFill="1" applyBorder="1"/>
    <xf numFmtId="0" fontId="2" fillId="8" borderId="5" xfId="0" applyFont="1" applyFill="1" applyBorder="1"/>
    <xf numFmtId="0" fontId="4" fillId="8" borderId="10" xfId="0" applyFont="1" applyFill="1" applyBorder="1" applyAlignment="1">
      <alignment horizontal="center"/>
    </xf>
    <xf numFmtId="8" fontId="5" fillId="0" borderId="0" xfId="0" applyNumberFormat="1" applyFont="1"/>
    <xf numFmtId="168" fontId="5" fillId="0" borderId="0" xfId="1" applyNumberFormat="1" applyFont="1"/>
    <xf numFmtId="10" fontId="5" fillId="0" borderId="0" xfId="0" applyNumberFormat="1" applyFont="1"/>
    <xf numFmtId="168" fontId="5" fillId="0" borderId="0" xfId="1" applyNumberFormat="1" applyFont="1" applyBorder="1"/>
    <xf numFmtId="0" fontId="0" fillId="0" borderId="9" xfId="0" applyFont="1" applyBorder="1"/>
    <xf numFmtId="0" fontId="19" fillId="0" borderId="0" xfId="0" applyFont="1"/>
    <xf numFmtId="10" fontId="0" fillId="0" borderId="0" xfId="0" applyNumberFormat="1" applyFont="1"/>
    <xf numFmtId="166" fontId="5" fillId="11" borderId="9" xfId="0" applyNumberFormat="1" applyFont="1" applyFill="1" applyBorder="1"/>
    <xf numFmtId="0" fontId="0" fillId="0" borderId="0" xfId="0" applyAlignment="1">
      <alignment wrapText="1"/>
    </xf>
    <xf numFmtId="0" fontId="15" fillId="14" borderId="0" xfId="15" applyFill="1"/>
    <xf numFmtId="0" fontId="22" fillId="14" borderId="0" xfId="15" applyFont="1" applyFill="1"/>
    <xf numFmtId="0" fontId="7" fillId="14" borderId="0" xfId="15" applyFont="1" applyFill="1"/>
    <xf numFmtId="0" fontId="23" fillId="14" borderId="0" xfId="15" applyFont="1" applyFill="1" applyAlignment="1">
      <alignment horizontal="left"/>
    </xf>
    <xf numFmtId="0" fontId="16" fillId="14" borderId="0" xfId="15" applyFont="1" applyFill="1" applyAlignment="1">
      <alignment horizontal="left"/>
    </xf>
    <xf numFmtId="0" fontId="15" fillId="0" borderId="0" xfId="15"/>
    <xf numFmtId="14" fontId="0" fillId="0" borderId="0" xfId="0" applyNumberFormat="1"/>
    <xf numFmtId="169" fontId="5" fillId="0" borderId="0" xfId="0" applyNumberFormat="1" applyFont="1"/>
    <xf numFmtId="166" fontId="5" fillId="0" borderId="0" xfId="0" applyNumberFormat="1" applyFont="1"/>
    <xf numFmtId="166" fontId="3" fillId="0" borderId="0" xfId="0" applyNumberFormat="1" applyFont="1"/>
    <xf numFmtId="169" fontId="3" fillId="0" borderId="0" xfId="0" applyNumberFormat="1" applyFont="1"/>
    <xf numFmtId="14" fontId="3" fillId="0" borderId="0" xfId="0" applyNumberFormat="1" applyFont="1" applyAlignment="1">
      <alignment wrapText="1"/>
    </xf>
    <xf numFmtId="44" fontId="5" fillId="0" borderId="0" xfId="0" applyNumberFormat="1" applyFont="1"/>
    <xf numFmtId="9" fontId="0" fillId="0" borderId="0" xfId="3" applyFont="1"/>
    <xf numFmtId="168" fontId="5" fillId="0" borderId="0" xfId="0" applyNumberFormat="1" applyFont="1"/>
    <xf numFmtId="9" fontId="5" fillId="0" borderId="0" xfId="3" applyFont="1"/>
    <xf numFmtId="165" fontId="3" fillId="0" borderId="0" xfId="3" applyNumberFormat="1" applyFont="1"/>
    <xf numFmtId="0" fontId="0" fillId="0" borderId="0" xfId="0" applyFont="1" applyBorder="1"/>
    <xf numFmtId="166" fontId="5" fillId="4" borderId="0" xfId="0" applyNumberFormat="1" applyFont="1" applyFill="1" applyBorder="1"/>
    <xf numFmtId="0" fontId="19" fillId="0" borderId="0" xfId="0" applyFont="1" applyFill="1"/>
    <xf numFmtId="166" fontId="9" fillId="0" borderId="0" xfId="0" applyNumberFormat="1" applyFont="1" applyFill="1"/>
    <xf numFmtId="0" fontId="5" fillId="0" borderId="0" xfId="0" applyFont="1" applyFill="1"/>
    <xf numFmtId="0" fontId="5" fillId="0" borderId="0" xfId="0" applyFont="1" applyBorder="1"/>
    <xf numFmtId="0" fontId="5" fillId="0" borderId="40" xfId="0" applyFont="1" applyBorder="1"/>
    <xf numFmtId="0" fontId="5" fillId="0" borderId="4" xfId="0" applyFont="1" applyBorder="1"/>
    <xf numFmtId="0" fontId="5" fillId="0" borderId="7" xfId="0" applyFont="1" applyBorder="1"/>
    <xf numFmtId="9" fontId="5" fillId="4" borderId="3" xfId="3" applyFont="1" applyFill="1" applyBorder="1"/>
    <xf numFmtId="9" fontId="5" fillId="4" borderId="8" xfId="3" applyFont="1" applyFill="1" applyBorder="1"/>
    <xf numFmtId="168" fontId="5" fillId="4" borderId="6" xfId="1" applyNumberFormat="1" applyFont="1" applyFill="1" applyBorder="1"/>
    <xf numFmtId="168" fontId="5" fillId="4" borderId="9" xfId="1" applyNumberFormat="1" applyFont="1" applyFill="1" applyBorder="1"/>
    <xf numFmtId="168" fontId="5" fillId="4" borderId="13" xfId="1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168" fontId="5" fillId="3" borderId="3" xfId="1" applyNumberFormat="1" applyFont="1" applyFill="1" applyBorder="1"/>
    <xf numFmtId="168" fontId="5" fillId="3" borderId="12" xfId="1" applyNumberFormat="1" applyFont="1" applyFill="1" applyBorder="1"/>
    <xf numFmtId="168" fontId="5" fillId="3" borderId="8" xfId="1" applyNumberFormat="1" applyFont="1" applyFill="1" applyBorder="1"/>
    <xf numFmtId="9" fontId="5" fillId="3" borderId="10" xfId="3" applyFont="1" applyFill="1" applyBorder="1"/>
    <xf numFmtId="9" fontId="5" fillId="3" borderId="0" xfId="3" applyFont="1" applyFill="1" applyBorder="1"/>
    <xf numFmtId="168" fontId="5" fillId="4" borderId="5" xfId="1" applyNumberFormat="1" applyFont="1" applyFill="1" applyBorder="1"/>
    <xf numFmtId="168" fontId="5" fillId="4" borderId="10" xfId="1" applyNumberFormat="1" applyFont="1" applyFill="1" applyBorder="1"/>
    <xf numFmtId="168" fontId="5" fillId="4" borderId="12" xfId="1" applyNumberFormat="1" applyFont="1" applyFill="1" applyBorder="1"/>
    <xf numFmtId="0" fontId="0" fillId="0" borderId="40" xfId="0" applyFont="1" applyBorder="1"/>
    <xf numFmtId="0" fontId="0" fillId="0" borderId="4" xfId="0" applyFont="1" applyBorder="1"/>
    <xf numFmtId="0" fontId="27" fillId="6" borderId="0" xfId="0" applyFont="1" applyFill="1" applyAlignment="1">
      <alignment horizontal="left"/>
    </xf>
    <xf numFmtId="0" fontId="28" fillId="8" borderId="0" xfId="0" applyFont="1" applyFill="1" applyAlignment="1">
      <alignment horizontal="left" vertical="center"/>
    </xf>
    <xf numFmtId="0" fontId="5" fillId="0" borderId="11" xfId="0" applyFont="1" applyBorder="1"/>
    <xf numFmtId="10" fontId="5" fillId="3" borderId="11" xfId="0" applyNumberFormat="1" applyFont="1" applyFill="1" applyBorder="1"/>
    <xf numFmtId="0" fontId="5" fillId="9" borderId="5" xfId="0" applyFont="1" applyFill="1" applyBorder="1"/>
    <xf numFmtId="0" fontId="5" fillId="9" borderId="12" xfId="0" applyFont="1" applyFill="1" applyBorder="1"/>
    <xf numFmtId="0" fontId="5" fillId="4" borderId="3" xfId="0" applyFont="1" applyFill="1" applyBorder="1"/>
    <xf numFmtId="0" fontId="5" fillId="4" borderId="8" xfId="0" applyFont="1" applyFill="1" applyBorder="1"/>
    <xf numFmtId="9" fontId="5" fillId="4" borderId="11" xfId="3" applyFont="1" applyFill="1" applyBorder="1"/>
    <xf numFmtId="0" fontId="5" fillId="10" borderId="3" xfId="0" applyFont="1" applyFill="1" applyBorder="1"/>
    <xf numFmtId="0" fontId="5" fillId="10" borderId="8" xfId="0" applyFont="1" applyFill="1" applyBorder="1"/>
    <xf numFmtId="0" fontId="5" fillId="11" borderId="3" xfId="0" applyFont="1" applyFill="1" applyBorder="1"/>
    <xf numFmtId="0" fontId="5" fillId="11" borderId="8" xfId="0" applyFont="1" applyFill="1" applyBorder="1"/>
    <xf numFmtId="0" fontId="5" fillId="12" borderId="3" xfId="0" applyFont="1" applyFill="1" applyBorder="1"/>
    <xf numFmtId="0" fontId="5" fillId="12" borderId="8" xfId="0" applyFont="1" applyFill="1" applyBorder="1"/>
    <xf numFmtId="0" fontId="5" fillId="13" borderId="3" xfId="0" applyFont="1" applyFill="1" applyBorder="1"/>
    <xf numFmtId="0" fontId="5" fillId="13" borderId="8" xfId="0" applyFont="1" applyFill="1" applyBorder="1"/>
    <xf numFmtId="0" fontId="29" fillId="0" borderId="6" xfId="0" applyFont="1" applyBorder="1"/>
    <xf numFmtId="0" fontId="29" fillId="0" borderId="13" xfId="0" applyFont="1" applyBorder="1"/>
    <xf numFmtId="0" fontId="29" fillId="0" borderId="0" xfId="0" applyFont="1" applyBorder="1"/>
    <xf numFmtId="0" fontId="27" fillId="6" borderId="8" xfId="0" applyFont="1" applyFill="1" applyBorder="1" applyAlignment="1">
      <alignment horizontal="left"/>
    </xf>
    <xf numFmtId="0" fontId="0" fillId="7" borderId="38" xfId="0" applyFont="1" applyFill="1" applyBorder="1" applyAlignment="1">
      <alignment horizontal="right"/>
    </xf>
    <xf numFmtId="44" fontId="29" fillId="18" borderId="11" xfId="0" applyNumberFormat="1" applyFont="1" applyFill="1" applyBorder="1"/>
    <xf numFmtId="0" fontId="0" fillId="7" borderId="39" xfId="0" applyFont="1" applyFill="1" applyBorder="1" applyAlignment="1">
      <alignment horizontal="right"/>
    </xf>
    <xf numFmtId="0" fontId="31" fillId="7" borderId="38" xfId="0" applyFont="1" applyFill="1" applyBorder="1" applyAlignment="1">
      <alignment horizontal="right"/>
    </xf>
    <xf numFmtId="44" fontId="5" fillId="19" borderId="11" xfId="0" applyNumberFormat="1" applyFont="1" applyFill="1" applyBorder="1"/>
    <xf numFmtId="0" fontId="31" fillId="7" borderId="39" xfId="0" applyFont="1" applyFill="1" applyBorder="1" applyAlignment="1">
      <alignment horizontal="right"/>
    </xf>
    <xf numFmtId="0" fontId="31" fillId="7" borderId="0" xfId="0" applyFont="1" applyFill="1"/>
    <xf numFmtId="0" fontId="31" fillId="7" borderId="0" xfId="0" applyFont="1" applyFill="1" applyBorder="1" applyAlignment="1">
      <alignment horizontal="right"/>
    </xf>
    <xf numFmtId="167" fontId="5" fillId="7" borderId="0" xfId="0" applyNumberFormat="1" applyFont="1" applyFill="1" applyBorder="1"/>
    <xf numFmtId="167" fontId="5" fillId="0" borderId="0" xfId="0" applyNumberFormat="1" applyFont="1" applyBorder="1"/>
    <xf numFmtId="44" fontId="5" fillId="0" borderId="0" xfId="0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3" xfId="0" applyFont="1" applyBorder="1"/>
    <xf numFmtId="9" fontId="0" fillId="4" borderId="0" xfId="3" applyFont="1" applyFill="1" applyBorder="1"/>
    <xf numFmtId="0" fontId="19" fillId="0" borderId="6" xfId="0" applyFont="1" applyBorder="1"/>
    <xf numFmtId="166" fontId="19" fillId="0" borderId="0" xfId="0" applyNumberFormat="1" applyFont="1"/>
    <xf numFmtId="166" fontId="0" fillId="0" borderId="0" xfId="0" applyNumberFormat="1" applyFont="1"/>
    <xf numFmtId="9" fontId="32" fillId="0" borderId="0" xfId="3" applyFont="1"/>
    <xf numFmtId="9" fontId="3" fillId="0" borderId="0" xfId="3" applyFont="1"/>
    <xf numFmtId="0" fontId="0" fillId="0" borderId="0" xfId="0" applyFont="1" applyFill="1"/>
    <xf numFmtId="8" fontId="0" fillId="0" borderId="0" xfId="0" applyNumberFormat="1" applyFont="1"/>
    <xf numFmtId="1" fontId="0" fillId="0" borderId="0" xfId="0" applyNumberFormat="1" applyFont="1"/>
    <xf numFmtId="0" fontId="28" fillId="8" borderId="40" xfId="0" applyFont="1" applyFill="1" applyBorder="1" applyAlignment="1">
      <alignment horizontal="left" vertical="center"/>
    </xf>
    <xf numFmtId="0" fontId="5" fillId="9" borderId="40" xfId="0" applyFont="1" applyFill="1" applyBorder="1"/>
    <xf numFmtId="0" fontId="5" fillId="4" borderId="4" xfId="0" applyFont="1" applyFill="1" applyBorder="1"/>
    <xf numFmtId="0" fontId="5" fillId="11" borderId="4" xfId="0" applyFont="1" applyFill="1" applyBorder="1"/>
    <xf numFmtId="0" fontId="5" fillId="13" borderId="7" xfId="0" applyFont="1" applyFill="1" applyBorder="1"/>
    <xf numFmtId="0" fontId="28" fillId="8" borderId="0" xfId="15" applyFont="1" applyFill="1" applyAlignment="1">
      <alignment horizontal="left" vertical="center"/>
    </xf>
    <xf numFmtId="0" fontId="5" fillId="9" borderId="5" xfId="15" applyFont="1" applyFill="1" applyBorder="1"/>
    <xf numFmtId="0" fontId="5" fillId="9" borderId="12" xfId="15" applyFont="1" applyFill="1" applyBorder="1"/>
    <xf numFmtId="0" fontId="5" fillId="4" borderId="3" xfId="15" applyFont="1" applyFill="1" applyBorder="1"/>
    <xf numFmtId="0" fontId="5" fillId="4" borderId="8" xfId="15" applyFont="1" applyFill="1" applyBorder="1"/>
    <xf numFmtId="0" fontId="5" fillId="10" borderId="3" xfId="15" applyFont="1" applyFill="1" applyBorder="1"/>
    <xf numFmtId="0" fontId="5" fillId="10" borderId="8" xfId="15" applyFont="1" applyFill="1" applyBorder="1"/>
    <xf numFmtId="0" fontId="5" fillId="11" borderId="3" xfId="15" applyFont="1" applyFill="1" applyBorder="1"/>
    <xf numFmtId="0" fontId="5" fillId="11" borderId="8" xfId="15" applyFont="1" applyFill="1" applyBorder="1"/>
    <xf numFmtId="0" fontId="5" fillId="12" borderId="3" xfId="15" applyFont="1" applyFill="1" applyBorder="1"/>
    <xf numFmtId="0" fontId="5" fillId="12" borderId="8" xfId="15" applyFont="1" applyFill="1" applyBorder="1"/>
    <xf numFmtId="0" fontId="5" fillId="13" borderId="3" xfId="15" applyFont="1" applyFill="1" applyBorder="1"/>
    <xf numFmtId="0" fontId="5" fillId="13" borderId="8" xfId="15" applyFont="1" applyFill="1" applyBorder="1"/>
    <xf numFmtId="0" fontId="29" fillId="0" borderId="6" xfId="15" applyFont="1" applyBorder="1"/>
    <xf numFmtId="0" fontId="29" fillId="0" borderId="13" xfId="15" applyFont="1" applyBorder="1"/>
    <xf numFmtId="0" fontId="27" fillId="6" borderId="5" xfId="0" applyFont="1" applyFill="1" applyBorder="1" applyAlignment="1">
      <alignment horizontal="left"/>
    </xf>
    <xf numFmtId="168" fontId="5" fillId="0" borderId="10" xfId="1" applyNumberFormat="1" applyFont="1" applyFill="1" applyBorder="1"/>
    <xf numFmtId="43" fontId="5" fillId="0" borderId="10" xfId="1" applyNumberFormat="1" applyFont="1" applyFill="1" applyBorder="1"/>
    <xf numFmtId="43" fontId="5" fillId="0" borderId="10" xfId="1" applyFont="1" applyBorder="1"/>
    <xf numFmtId="43" fontId="5" fillId="0" borderId="12" xfId="1" applyFont="1" applyBorder="1"/>
    <xf numFmtId="0" fontId="5" fillId="0" borderId="3" xfId="0" applyFont="1" applyBorder="1"/>
    <xf numFmtId="0" fontId="9" fillId="0" borderId="1" xfId="0" applyFont="1" applyBorder="1"/>
    <xf numFmtId="0" fontId="5" fillId="0" borderId="5" xfId="0" applyFont="1" applyBorder="1"/>
    <xf numFmtId="0" fontId="0" fillId="0" borderId="10" xfId="0" applyFont="1" applyBorder="1"/>
    <xf numFmtId="0" fontId="0" fillId="0" borderId="12" xfId="0" applyFont="1" applyBorder="1"/>
    <xf numFmtId="166" fontId="5" fillId="11" borderId="8" xfId="0" applyNumberFormat="1" applyFont="1" applyFill="1" applyBorder="1"/>
    <xf numFmtId="166" fontId="5" fillId="11" borderId="13" xfId="0" applyNumberFormat="1" applyFont="1" applyFill="1" applyBorder="1"/>
    <xf numFmtId="169" fontId="5" fillId="11" borderId="0" xfId="0" applyNumberFormat="1" applyFont="1" applyFill="1" applyBorder="1"/>
    <xf numFmtId="169" fontId="5" fillId="11" borderId="8" xfId="0" applyNumberFormat="1" applyFont="1" applyFill="1" applyBorder="1"/>
    <xf numFmtId="9" fontId="5" fillId="11" borderId="9" xfId="0" applyNumberFormat="1" applyFont="1" applyFill="1" applyBorder="1"/>
    <xf numFmtId="9" fontId="5" fillId="11" borderId="13" xfId="0" applyNumberFormat="1" applyFont="1" applyFill="1" applyBorder="1"/>
    <xf numFmtId="0" fontId="27" fillId="6" borderId="1" xfId="0" applyFont="1" applyFill="1" applyBorder="1" applyAlignment="1">
      <alignment horizontal="left"/>
    </xf>
    <xf numFmtId="0" fontId="27" fillId="6" borderId="14" xfId="0" applyFont="1" applyFill="1" applyBorder="1" applyAlignment="1">
      <alignment horizontal="left"/>
    </xf>
    <xf numFmtId="0" fontId="27" fillId="6" borderId="2" xfId="0" applyFont="1" applyFill="1" applyBorder="1" applyAlignment="1">
      <alignment horizontal="left"/>
    </xf>
    <xf numFmtId="166" fontId="5" fillId="11" borderId="10" xfId="0" applyNumberFormat="1" applyFont="1" applyFill="1" applyBorder="1"/>
    <xf numFmtId="166" fontId="5" fillId="11" borderId="12" xfId="0" applyNumberFormat="1" applyFont="1" applyFill="1" applyBorder="1"/>
    <xf numFmtId="0" fontId="5" fillId="0" borderId="6" xfId="0" applyFont="1" applyBorder="1"/>
    <xf numFmtId="168" fontId="5" fillId="3" borderId="9" xfId="1" applyNumberFormat="1" applyFont="1" applyFill="1" applyBorder="1"/>
    <xf numFmtId="9" fontId="5" fillId="4" borderId="14" xfId="3" applyFont="1" applyFill="1" applyBorder="1"/>
    <xf numFmtId="9" fontId="5" fillId="4" borderId="2" xfId="3" applyFont="1" applyFill="1" applyBorder="1"/>
    <xf numFmtId="166" fontId="9" fillId="4" borderId="14" xfId="0" applyNumberFormat="1" applyFont="1" applyFill="1" applyBorder="1"/>
    <xf numFmtId="166" fontId="5" fillId="4" borderId="14" xfId="0" applyNumberFormat="1" applyFont="1" applyFill="1" applyBorder="1"/>
    <xf numFmtId="166" fontId="5" fillId="4" borderId="2" xfId="0" applyNumberFormat="1" applyFont="1" applyFill="1" applyBorder="1"/>
    <xf numFmtId="0" fontId="24" fillId="0" borderId="10" xfId="0" applyFont="1" applyBorder="1"/>
    <xf numFmtId="168" fontId="5" fillId="0" borderId="10" xfId="1" applyNumberFormat="1" applyFont="1" applyBorder="1"/>
    <xf numFmtId="0" fontId="5" fillId="0" borderId="12" xfId="0" applyFont="1" applyBorder="1"/>
    <xf numFmtId="166" fontId="5" fillId="4" borderId="8" xfId="0" applyNumberFormat="1" applyFont="1" applyFill="1" applyBorder="1"/>
    <xf numFmtId="166" fontId="5" fillId="4" borderId="9" xfId="0" applyNumberFormat="1" applyFont="1" applyFill="1" applyBorder="1"/>
    <xf numFmtId="166" fontId="5" fillId="4" borderId="13" xfId="0" applyNumberFormat="1" applyFont="1" applyFill="1" applyBorder="1"/>
    <xf numFmtId="166" fontId="9" fillId="4" borderId="10" xfId="1" applyNumberFormat="1" applyFont="1" applyFill="1" applyBorder="1"/>
    <xf numFmtId="166" fontId="9" fillId="4" borderId="12" xfId="1" applyNumberFormat="1" applyFont="1" applyFill="1" applyBorder="1"/>
    <xf numFmtId="166" fontId="9" fillId="0" borderId="10" xfId="0" applyNumberFormat="1" applyFont="1" applyFill="1" applyBorder="1"/>
    <xf numFmtId="166" fontId="9" fillId="0" borderId="12" xfId="0" applyNumberFormat="1" applyFont="1" applyFill="1" applyBorder="1"/>
    <xf numFmtId="44" fontId="0" fillId="4" borderId="5" xfId="0" applyNumberFormat="1" applyFont="1" applyFill="1" applyBorder="1"/>
    <xf numFmtId="0" fontId="0" fillId="0" borderId="1" xfId="0" applyFont="1" applyBorder="1"/>
    <xf numFmtId="44" fontId="0" fillId="4" borderId="3" xfId="2" applyFont="1" applyFill="1" applyBorder="1"/>
    <xf numFmtId="44" fontId="0" fillId="4" borderId="0" xfId="2" applyFont="1" applyFill="1" applyBorder="1"/>
    <xf numFmtId="44" fontId="0" fillId="25" borderId="0" xfId="2" applyFont="1" applyFill="1" applyBorder="1"/>
    <xf numFmtId="44" fontId="0" fillId="25" borderId="8" xfId="2" applyFont="1" applyFill="1" applyBorder="1"/>
    <xf numFmtId="44" fontId="0" fillId="4" borderId="10" xfId="2" applyFont="1" applyFill="1" applyBorder="1"/>
    <xf numFmtId="9" fontId="0" fillId="4" borderId="3" xfId="3" applyFont="1" applyFill="1" applyBorder="1"/>
    <xf numFmtId="169" fontId="19" fillId="0" borderId="0" xfId="0" applyNumberFormat="1" applyFont="1"/>
    <xf numFmtId="0" fontId="0" fillId="0" borderId="0" xfId="0" applyFont="1" applyAlignment="1">
      <alignment horizontal="left"/>
    </xf>
    <xf numFmtId="166" fontId="0" fillId="16" borderId="12" xfId="0" applyNumberFormat="1" applyFont="1" applyFill="1" applyBorder="1"/>
    <xf numFmtId="10" fontId="0" fillId="0" borderId="0" xfId="3" applyNumberFormat="1" applyFont="1"/>
    <xf numFmtId="0" fontId="9" fillId="14" borderId="11" xfId="0" applyFont="1" applyFill="1" applyBorder="1" applyAlignment="1">
      <alignment vertical="center" wrapText="1"/>
    </xf>
    <xf numFmtId="0" fontId="5" fillId="10" borderId="11" xfId="0" applyFont="1" applyFill="1" applyBorder="1"/>
    <xf numFmtId="0" fontId="33" fillId="14" borderId="0" xfId="0" applyFont="1" applyFill="1" applyAlignment="1">
      <alignment horizontal="center" vertical="center" wrapText="1"/>
    </xf>
    <xf numFmtId="166" fontId="0" fillId="16" borderId="13" xfId="0" applyNumberFormat="1" applyFont="1" applyFill="1" applyBorder="1" applyAlignment="1">
      <alignment vertical="center" wrapText="1"/>
    </xf>
    <xf numFmtId="0" fontId="9" fillId="14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28" fillId="8" borderId="1" xfId="0" applyFont="1" applyFill="1" applyBorder="1" applyAlignment="1">
      <alignment horizontal="left" vertical="center"/>
    </xf>
    <xf numFmtId="0" fontId="28" fillId="8" borderId="14" xfId="0" applyFont="1" applyFill="1" applyBorder="1" applyAlignment="1">
      <alignment horizontal="left" vertical="center"/>
    </xf>
    <xf numFmtId="0" fontId="28" fillId="8" borderId="14" xfId="0" applyFont="1" applyFill="1" applyBorder="1" applyAlignment="1">
      <alignment horizontal="left" vertical="center" wrapText="1"/>
    </xf>
    <xf numFmtId="0" fontId="28" fillId="8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8" fillId="8" borderId="5" xfId="0" applyFont="1" applyFill="1" applyBorder="1" applyAlignment="1">
      <alignment horizontal="left" vertical="center"/>
    </xf>
    <xf numFmtId="0" fontId="28" fillId="8" borderId="12" xfId="0" applyFont="1" applyFill="1" applyBorder="1" applyAlignment="1">
      <alignment horizontal="left" vertical="center"/>
    </xf>
    <xf numFmtId="0" fontId="19" fillId="0" borderId="10" xfId="0" applyFont="1" applyBorder="1" applyAlignment="1">
      <alignment vertical="top"/>
    </xf>
    <xf numFmtId="0" fontId="0" fillId="0" borderId="24" xfId="0" applyFont="1" applyBorder="1"/>
    <xf numFmtId="0" fontId="0" fillId="0" borderId="18" xfId="0" applyFont="1" applyBorder="1" applyAlignment="1">
      <alignment horizontal="left"/>
    </xf>
    <xf numFmtId="166" fontId="0" fillId="9" borderId="4" xfId="0" applyNumberFormat="1" applyFont="1" applyFill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 applyAlignment="1">
      <alignment horizontal="left"/>
    </xf>
    <xf numFmtId="0" fontId="0" fillId="9" borderId="4" xfId="0" applyFont="1" applyFill="1" applyBorder="1" applyAlignment="1">
      <alignment horizontal="center"/>
    </xf>
    <xf numFmtId="0" fontId="0" fillId="9" borderId="19" xfId="0" applyFont="1" applyFill="1" applyBorder="1" applyAlignment="1">
      <alignment horizontal="center"/>
    </xf>
    <xf numFmtId="0" fontId="34" fillId="0" borderId="0" xfId="0" applyFont="1"/>
    <xf numFmtId="169" fontId="0" fillId="0" borderId="0" xfId="0" applyNumberFormat="1" applyFont="1"/>
    <xf numFmtId="0" fontId="5" fillId="13" borderId="6" xfId="0" applyFont="1" applyFill="1" applyBorder="1"/>
    <xf numFmtId="0" fontId="5" fillId="16" borderId="13" xfId="0" applyFont="1" applyFill="1" applyBorder="1"/>
    <xf numFmtId="0" fontId="5" fillId="0" borderId="25" xfId="0" applyFont="1" applyBorder="1"/>
    <xf numFmtId="0" fontId="0" fillId="9" borderId="28" xfId="0" applyFont="1" applyFill="1" applyBorder="1" applyAlignment="1">
      <alignment horizontal="center"/>
    </xf>
    <xf numFmtId="0" fontId="0" fillId="0" borderId="29" xfId="0" applyFont="1" applyBorder="1"/>
    <xf numFmtId="0" fontId="0" fillId="0" borderId="20" xfId="0" applyFont="1" applyBorder="1"/>
    <xf numFmtId="165" fontId="0" fillId="9" borderId="27" xfId="0" applyNumberFormat="1" applyFont="1" applyFill="1" applyBorder="1" applyAlignment="1">
      <alignment horizontal="center"/>
    </xf>
    <xf numFmtId="0" fontId="19" fillId="0" borderId="9" xfId="0" applyFont="1" applyBorder="1" applyAlignment="1">
      <alignment vertical="top"/>
    </xf>
    <xf numFmtId="0" fontId="0" fillId="0" borderId="30" xfId="0" applyFont="1" applyBorder="1"/>
    <xf numFmtId="0" fontId="0" fillId="0" borderId="22" xfId="0" applyFont="1" applyBorder="1" applyAlignment="1">
      <alignment horizontal="left"/>
    </xf>
    <xf numFmtId="165" fontId="0" fillId="9" borderId="7" xfId="0" applyNumberFormat="1" applyFont="1" applyFill="1" applyBorder="1" applyAlignment="1">
      <alignment horizontal="center"/>
    </xf>
    <xf numFmtId="0" fontId="28" fillId="8" borderId="10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horizontal="left"/>
    </xf>
    <xf numFmtId="166" fontId="0" fillId="3" borderId="40" xfId="12" applyNumberFormat="1" applyFont="1" applyFill="1" applyBorder="1" applyAlignment="1">
      <alignment horizontal="center"/>
    </xf>
    <xf numFmtId="0" fontId="0" fillId="0" borderId="29" xfId="0" applyFont="1" applyBorder="1" applyAlignment="1">
      <alignment horizontal="left"/>
    </xf>
    <xf numFmtId="9" fontId="0" fillId="15" borderId="4" xfId="3" applyFont="1" applyFill="1" applyBorder="1" applyAlignment="1">
      <alignment horizontal="center"/>
    </xf>
    <xf numFmtId="0" fontId="0" fillId="0" borderId="32" xfId="0" applyFont="1" applyBorder="1"/>
    <xf numFmtId="0" fontId="0" fillId="0" borderId="32" xfId="0" applyFont="1" applyBorder="1" applyAlignment="1">
      <alignment horizontal="left"/>
    </xf>
    <xf numFmtId="166" fontId="0" fillId="16" borderId="4" xfId="0" applyNumberFormat="1" applyFont="1" applyFill="1" applyBorder="1" applyAlignment="1">
      <alignment horizontal="center"/>
    </xf>
    <xf numFmtId="0" fontId="35" fillId="0" borderId="10" xfId="0" applyFont="1" applyBorder="1" applyAlignment="1">
      <alignment horizontal="left"/>
    </xf>
    <xf numFmtId="9" fontId="0" fillId="3" borderId="40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166" fontId="0" fillId="3" borderId="7" xfId="0" applyNumberFormat="1" applyFont="1" applyFill="1" applyBorder="1" applyAlignment="1">
      <alignment horizontal="center"/>
    </xf>
    <xf numFmtId="0" fontId="0" fillId="0" borderId="25" xfId="0" applyFont="1" applyBorder="1" applyAlignment="1">
      <alignment horizontal="left"/>
    </xf>
    <xf numFmtId="169" fontId="0" fillId="9" borderId="40" xfId="1" applyNumberFormat="1" applyFont="1" applyFill="1" applyBorder="1" applyAlignment="1">
      <alignment horizontal="center"/>
    </xf>
    <xf numFmtId="169" fontId="0" fillId="16" borderId="4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10" fontId="31" fillId="18" borderId="7" xfId="0" applyNumberFormat="1" applyFont="1" applyFill="1" applyBorder="1" applyAlignment="1">
      <alignment horizontal="center"/>
    </xf>
    <xf numFmtId="166" fontId="0" fillId="9" borderId="40" xfId="0" applyNumberFormat="1" applyFont="1" applyFill="1" applyBorder="1" applyAlignment="1">
      <alignment horizontal="center"/>
    </xf>
    <xf numFmtId="0" fontId="36" fillId="0" borderId="0" xfId="0" applyFont="1"/>
    <xf numFmtId="10" fontId="0" fillId="9" borderId="7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vertical="top"/>
    </xf>
    <xf numFmtId="0" fontId="36" fillId="0" borderId="24" xfId="0" applyFont="1" applyBorder="1"/>
    <xf numFmtId="0" fontId="36" fillId="0" borderId="24" xfId="0" applyFont="1" applyBorder="1" applyAlignment="1">
      <alignment horizontal="left"/>
    </xf>
    <xf numFmtId="0" fontId="0" fillId="9" borderId="40" xfId="0" applyFont="1" applyFill="1" applyBorder="1" applyAlignment="1">
      <alignment horizontal="center"/>
    </xf>
    <xf numFmtId="0" fontId="36" fillId="0" borderId="29" xfId="0" applyFont="1" applyBorder="1"/>
    <xf numFmtId="0" fontId="36" fillId="0" borderId="29" xfId="0" applyFont="1" applyBorder="1" applyAlignment="1">
      <alignment horizontal="left"/>
    </xf>
    <xf numFmtId="166" fontId="0" fillId="3" borderId="4" xfId="0" applyNumberFormat="1" applyFont="1" applyFill="1" applyBorder="1" applyAlignment="1">
      <alignment horizontal="center"/>
    </xf>
    <xf numFmtId="10" fontId="0" fillId="9" borderId="4" xfId="0" applyNumberFormat="1" applyFont="1" applyFill="1" applyBorder="1" applyAlignment="1">
      <alignment horizontal="center"/>
    </xf>
    <xf numFmtId="0" fontId="0" fillId="9" borderId="7" xfId="0" applyFont="1" applyFill="1" applyBorder="1" applyAlignment="1">
      <alignment horizontal="center"/>
    </xf>
    <xf numFmtId="165" fontId="31" fillId="18" borderId="40" xfId="0" applyNumberFormat="1" applyFont="1" applyFill="1" applyBorder="1" applyAlignment="1">
      <alignment horizontal="center"/>
    </xf>
    <xf numFmtId="1" fontId="31" fillId="18" borderId="4" xfId="0" applyNumberFormat="1" applyFont="1" applyFill="1" applyBorder="1" applyAlignment="1">
      <alignment horizontal="center"/>
    </xf>
    <xf numFmtId="165" fontId="31" fillId="18" borderId="4" xfId="0" applyNumberFormat="1" applyFont="1" applyFill="1" applyBorder="1" applyAlignment="1">
      <alignment horizontal="center"/>
    </xf>
    <xf numFmtId="165" fontId="31" fillId="18" borderId="11" xfId="0" applyNumberFormat="1" applyFont="1" applyFill="1" applyBorder="1" applyAlignment="1">
      <alignment horizontal="center"/>
    </xf>
    <xf numFmtId="0" fontId="36" fillId="0" borderId="18" xfId="0" applyFont="1" applyBorder="1" applyAlignment="1">
      <alignment horizontal="left"/>
    </xf>
    <xf numFmtId="9" fontId="0" fillId="14" borderId="28" xfId="3" applyFont="1" applyFill="1" applyBorder="1" applyAlignment="1">
      <alignment horizontal="center"/>
    </xf>
    <xf numFmtId="0" fontId="37" fillId="0" borderId="9" xfId="0" applyFont="1" applyBorder="1" applyAlignment="1">
      <alignment vertical="top"/>
    </xf>
    <xf numFmtId="0" fontId="36" fillId="0" borderId="30" xfId="0" applyFont="1" applyBorder="1"/>
    <xf numFmtId="0" fontId="36" fillId="0" borderId="22" xfId="0" applyFont="1" applyBorder="1" applyAlignment="1">
      <alignment horizontal="left"/>
    </xf>
    <xf numFmtId="0" fontId="19" fillId="0" borderId="10" xfId="0" applyFont="1" applyBorder="1"/>
    <xf numFmtId="1" fontId="0" fillId="3" borderId="27" xfId="0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10" fontId="0" fillId="15" borderId="27" xfId="0" applyNumberFormat="1" applyFont="1" applyFill="1" applyBorder="1" applyAlignment="1">
      <alignment horizontal="center"/>
    </xf>
    <xf numFmtId="0" fontId="31" fillId="18" borderId="42" xfId="12" applyFont="1" applyFill="1" applyBorder="1" applyAlignment="1">
      <alignment horizontal="center"/>
    </xf>
    <xf numFmtId="0" fontId="0" fillId="0" borderId="32" xfId="0" applyFont="1" applyBorder="1" applyAlignment="1">
      <alignment horizontal="left" indent="1"/>
    </xf>
    <xf numFmtId="0" fontId="0" fillId="0" borderId="33" xfId="0" applyFont="1" applyBorder="1" applyAlignment="1">
      <alignment horizontal="left"/>
    </xf>
    <xf numFmtId="9" fontId="0" fillId="15" borderId="27" xfId="0" applyNumberFormat="1" applyFont="1" applyFill="1" applyBorder="1" applyAlignment="1">
      <alignment horizontal="center"/>
    </xf>
    <xf numFmtId="0" fontId="36" fillId="0" borderId="29" xfId="0" applyFont="1" applyBorder="1" applyAlignment="1">
      <alignment horizontal="left" indent="1"/>
    </xf>
    <xf numFmtId="0" fontId="36" fillId="0" borderId="20" xfId="0" applyFont="1" applyBorder="1" applyAlignment="1">
      <alignment horizontal="left"/>
    </xf>
    <xf numFmtId="9" fontId="31" fillId="18" borderId="43" xfId="9" applyNumberFormat="1" applyFont="1" applyFill="1" applyBorder="1" applyAlignment="1">
      <alignment horizontal="center"/>
    </xf>
    <xf numFmtId="9" fontId="31" fillId="18" borderId="44" xfId="3" applyFont="1" applyFill="1" applyBorder="1" applyAlignment="1">
      <alignment horizontal="center"/>
    </xf>
    <xf numFmtId="0" fontId="31" fillId="18" borderId="44" xfId="0" applyFont="1" applyFill="1" applyBorder="1" applyAlignment="1">
      <alignment horizontal="center"/>
    </xf>
    <xf numFmtId="0" fontId="19" fillId="0" borderId="9" xfId="0" applyFont="1" applyBorder="1"/>
    <xf numFmtId="0" fontId="31" fillId="18" borderId="42" xfId="0" applyFont="1" applyFill="1" applyBorder="1" applyAlignment="1">
      <alignment horizontal="center"/>
    </xf>
    <xf numFmtId="165" fontId="31" fillId="18" borderId="41" xfId="0" applyNumberFormat="1" applyFont="1" applyFill="1" applyBorder="1" applyAlignment="1">
      <alignment horizontal="center"/>
    </xf>
    <xf numFmtId="0" fontId="34" fillId="0" borderId="9" xfId="0" applyFont="1" applyBorder="1" applyAlignment="1">
      <alignment horizontal="left" indent="2"/>
    </xf>
    <xf numFmtId="0" fontId="34" fillId="0" borderId="30" xfId="0" applyFont="1" applyBorder="1" applyAlignment="1">
      <alignment horizontal="left" indent="2"/>
    </xf>
    <xf numFmtId="165" fontId="38" fillId="21" borderId="42" xfId="0" applyNumberFormat="1" applyFont="1" applyFill="1" applyBorder="1" applyAlignment="1">
      <alignment horizontal="center"/>
    </xf>
    <xf numFmtId="0" fontId="0" fillId="0" borderId="10" xfId="0" quotePrefix="1" applyFont="1" applyBorder="1"/>
    <xf numFmtId="0" fontId="0" fillId="3" borderId="5" xfId="0" applyFont="1" applyFill="1" applyBorder="1" applyAlignment="1">
      <alignment horizontal="center"/>
    </xf>
    <xf numFmtId="0" fontId="0" fillId="0" borderId="18" xfId="0" applyFont="1" applyBorder="1"/>
    <xf numFmtId="0" fontId="0" fillId="3" borderId="19" xfId="0" applyFont="1" applyFill="1" applyBorder="1" applyAlignment="1">
      <alignment horizontal="center"/>
    </xf>
    <xf numFmtId="0" fontId="0" fillId="0" borderId="9" xfId="0" applyFont="1" applyBorder="1" applyAlignment="1">
      <alignment vertical="top"/>
    </xf>
    <xf numFmtId="0" fontId="0" fillId="0" borderId="22" xfId="0" applyFont="1" applyBorder="1"/>
    <xf numFmtId="0" fontId="0" fillId="3" borderId="31" xfId="0" applyFont="1" applyFill="1" applyBorder="1" applyAlignment="1">
      <alignment horizontal="center"/>
    </xf>
    <xf numFmtId="9" fontId="0" fillId="0" borderId="0" xfId="0" applyNumberFormat="1" applyFont="1"/>
    <xf numFmtId="166" fontId="0" fillId="3" borderId="19" xfId="0" applyNumberFormat="1" applyFont="1" applyFill="1" applyBorder="1" applyAlignment="1">
      <alignment horizontal="center"/>
    </xf>
    <xf numFmtId="0" fontId="0" fillId="9" borderId="31" xfId="0" applyFont="1" applyFill="1" applyBorder="1" applyAlignment="1">
      <alignment horizontal="center"/>
    </xf>
    <xf numFmtId="0" fontId="34" fillId="0" borderId="25" xfId="0" applyFont="1" applyBorder="1" applyAlignment="1">
      <alignment horizontal="left" indent="1"/>
    </xf>
    <xf numFmtId="8" fontId="8" fillId="0" borderId="19" xfId="0" applyNumberFormat="1" applyFont="1" applyFill="1" applyBorder="1" applyAlignment="1">
      <alignment horizontal="center"/>
    </xf>
    <xf numFmtId="0" fontId="0" fillId="0" borderId="26" xfId="0" applyFont="1" applyBorder="1"/>
    <xf numFmtId="8" fontId="8" fillId="0" borderId="28" xfId="0" applyNumberFormat="1" applyFont="1" applyFill="1" applyBorder="1" applyAlignment="1">
      <alignment horizontal="center"/>
    </xf>
    <xf numFmtId="168" fontId="0" fillId="0" borderId="0" xfId="0" applyNumberFormat="1" applyFont="1"/>
    <xf numFmtId="0" fontId="34" fillId="0" borderId="29" xfId="0" applyFont="1" applyBorder="1" applyAlignment="1">
      <alignment horizontal="left" indent="1"/>
    </xf>
    <xf numFmtId="8" fontId="8" fillId="0" borderId="27" xfId="0" applyNumberFormat="1" applyFont="1" applyFill="1" applyBorder="1" applyAlignment="1">
      <alignment horizontal="center"/>
    </xf>
    <xf numFmtId="0" fontId="34" fillId="0" borderId="34" xfId="0" applyFont="1" applyBorder="1" applyAlignment="1">
      <alignment horizontal="left" indent="1"/>
    </xf>
    <xf numFmtId="0" fontId="0" fillId="0" borderId="35" xfId="0" applyFont="1" applyBorder="1"/>
    <xf numFmtId="8" fontId="8" fillId="0" borderId="36" xfId="0" applyNumberFormat="1" applyFont="1" applyFill="1" applyBorder="1" applyAlignment="1">
      <alignment horizontal="center"/>
    </xf>
    <xf numFmtId="0" fontId="39" fillId="0" borderId="9" xfId="0" applyFont="1" applyBorder="1" applyAlignment="1">
      <alignment horizontal="left" indent="1"/>
    </xf>
    <xf numFmtId="0" fontId="19" fillId="0" borderId="13" xfId="0" applyFont="1" applyBorder="1"/>
    <xf numFmtId="8" fontId="9" fillId="0" borderId="7" xfId="0" applyNumberFormat="1" applyFont="1" applyFill="1" applyBorder="1" applyAlignment="1">
      <alignment horizontal="center"/>
    </xf>
    <xf numFmtId="0" fontId="34" fillId="0" borderId="24" xfId="0" applyFont="1" applyBorder="1" applyAlignment="1">
      <alignment horizontal="left" indent="1"/>
    </xf>
    <xf numFmtId="8" fontId="9" fillId="0" borderId="31" xfId="0" applyNumberFormat="1" applyFont="1" applyFill="1" applyBorder="1" applyAlignment="1">
      <alignment horizontal="center"/>
    </xf>
    <xf numFmtId="0" fontId="34" fillId="0" borderId="29" xfId="0" applyFont="1" applyBorder="1"/>
    <xf numFmtId="8" fontId="5" fillId="0" borderId="27" xfId="0" applyNumberFormat="1" applyFont="1" applyFill="1" applyBorder="1" applyAlignment="1">
      <alignment horizontal="center"/>
    </xf>
    <xf numFmtId="0" fontId="34" fillId="0" borderId="32" xfId="0" applyFont="1" applyBorder="1"/>
    <xf numFmtId="0" fontId="0" fillId="0" borderId="33" xfId="0" applyFont="1" applyBorder="1"/>
    <xf numFmtId="8" fontId="5" fillId="0" borderId="21" xfId="0" applyNumberFormat="1" applyFont="1" applyFill="1" applyBorder="1" applyAlignment="1">
      <alignment horizontal="center"/>
    </xf>
    <xf numFmtId="170" fontId="5" fillId="0" borderId="0" xfId="0" applyNumberFormat="1" applyFont="1"/>
    <xf numFmtId="0" fontId="0" fillId="0" borderId="9" xfId="0" applyFont="1" applyBorder="1" applyAlignment="1">
      <alignment horizontal="left" indent="2"/>
    </xf>
    <xf numFmtId="0" fontId="34" fillId="0" borderId="30" xfId="0" applyFont="1" applyBorder="1"/>
    <xf numFmtId="8" fontId="5" fillId="0" borderId="31" xfId="0" applyNumberFormat="1" applyFont="1" applyFill="1" applyBorder="1" applyAlignment="1">
      <alignment horizontal="center"/>
    </xf>
    <xf numFmtId="0" fontId="40" fillId="0" borderId="29" xfId="0" applyFont="1" applyFill="1" applyBorder="1"/>
    <xf numFmtId="0" fontId="36" fillId="0" borderId="20" xfId="0" applyFont="1" applyFill="1" applyBorder="1"/>
    <xf numFmtId="9" fontId="36" fillId="0" borderId="27" xfId="0" applyNumberFormat="1" applyFont="1" applyFill="1" applyBorder="1" applyAlignment="1">
      <alignment horizontal="center"/>
    </xf>
    <xf numFmtId="0" fontId="40" fillId="0" borderId="32" xfId="0" applyFont="1" applyFill="1" applyBorder="1"/>
    <xf numFmtId="0" fontId="36" fillId="0" borderId="9" xfId="0" applyFont="1" applyFill="1" applyBorder="1"/>
    <xf numFmtId="0" fontId="40" fillId="0" borderId="30" xfId="0" applyFont="1" applyFill="1" applyBorder="1"/>
    <xf numFmtId="0" fontId="36" fillId="0" borderId="22" xfId="0" applyFont="1" applyFill="1" applyBorder="1"/>
    <xf numFmtId="9" fontId="36" fillId="0" borderId="31" xfId="0" applyNumberFormat="1" applyFont="1" applyFill="1" applyBorder="1" applyAlignment="1">
      <alignment horizontal="center"/>
    </xf>
    <xf numFmtId="0" fontId="36" fillId="0" borderId="26" xfId="0" applyFont="1" applyFill="1" applyBorder="1"/>
    <xf numFmtId="166" fontId="36" fillId="0" borderId="28" xfId="0" applyNumberFormat="1" applyFont="1" applyFill="1" applyBorder="1" applyAlignment="1">
      <alignment horizontal="center"/>
    </xf>
    <xf numFmtId="166" fontId="36" fillId="0" borderId="27" xfId="0" applyNumberFormat="1" applyFont="1" applyFill="1" applyBorder="1" applyAlignment="1">
      <alignment horizontal="center"/>
    </xf>
    <xf numFmtId="166" fontId="36" fillId="0" borderId="21" xfId="0" applyNumberFormat="1" applyFont="1" applyFill="1" applyBorder="1" applyAlignment="1">
      <alignment horizontal="center"/>
    </xf>
    <xf numFmtId="166" fontId="36" fillId="0" borderId="31" xfId="0" applyNumberFormat="1" applyFont="1" applyFill="1" applyBorder="1" applyAlignment="1">
      <alignment horizontal="center"/>
    </xf>
    <xf numFmtId="9" fontId="0" fillId="9" borderId="27" xfId="3" applyFont="1" applyFill="1" applyBorder="1" applyAlignment="1">
      <alignment horizontal="center"/>
    </xf>
    <xf numFmtId="0" fontId="34" fillId="0" borderId="9" xfId="0" applyFont="1" applyBorder="1"/>
    <xf numFmtId="10" fontId="0" fillId="9" borderId="27" xfId="3" applyNumberFormat="1" applyFont="1" applyFill="1" applyBorder="1" applyAlignment="1">
      <alignment horizontal="center"/>
    </xf>
    <xf numFmtId="0" fontId="28" fillId="8" borderId="4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8" fillId="8" borderId="2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vertical="top"/>
    </xf>
    <xf numFmtId="0" fontId="28" fillId="8" borderId="12" xfId="0" applyFont="1" applyFill="1" applyBorder="1" applyAlignment="1">
      <alignment horizontal="left" vertical="center" wrapText="1"/>
    </xf>
    <xf numFmtId="0" fontId="37" fillId="0" borderId="5" xfId="0" applyFont="1" applyBorder="1" applyAlignment="1">
      <alignment vertical="top"/>
    </xf>
    <xf numFmtId="0" fontId="37" fillId="0" borderId="3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6" xfId="0" applyFont="1" applyBorder="1" applyAlignment="1">
      <alignment vertical="top"/>
    </xf>
    <xf numFmtId="0" fontId="19" fillId="0" borderId="5" xfId="0" applyFont="1" applyBorder="1"/>
    <xf numFmtId="0" fontId="19" fillId="0" borderId="3" xfId="0" applyFont="1" applyBorder="1"/>
    <xf numFmtId="0" fontId="19" fillId="0" borderId="0" xfId="0" applyFont="1" applyBorder="1"/>
    <xf numFmtId="0" fontId="34" fillId="0" borderId="6" xfId="0" applyFont="1" applyBorder="1" applyAlignment="1">
      <alignment horizontal="left" indent="2"/>
    </xf>
    <xf numFmtId="0" fontId="0" fillId="3" borderId="40" xfId="0" applyFont="1" applyFill="1" applyBorder="1" applyAlignment="1">
      <alignment horizontal="center"/>
    </xf>
    <xf numFmtId="0" fontId="0" fillId="0" borderId="6" xfId="0" applyFont="1" applyBorder="1" applyAlignment="1">
      <alignment vertical="top"/>
    </xf>
    <xf numFmtId="0" fontId="34" fillId="0" borderId="3" xfId="0" applyFont="1" applyBorder="1" applyAlignment="1">
      <alignment horizontal="left" indent="2"/>
    </xf>
    <xf numFmtId="0" fontId="34" fillId="0" borderId="0" xfId="0" applyFont="1" applyBorder="1" applyAlignment="1">
      <alignment horizontal="left" indent="2"/>
    </xf>
    <xf numFmtId="0" fontId="39" fillId="0" borderId="6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3" xfId="0" applyFont="1" applyBorder="1" applyAlignment="1">
      <alignment horizontal="left" indent="2"/>
    </xf>
    <xf numFmtId="0" fontId="0" fillId="0" borderId="6" xfId="0" applyFont="1" applyBorder="1" applyAlignment="1">
      <alignment horizontal="left" indent="2"/>
    </xf>
    <xf numFmtId="0" fontId="37" fillId="0" borderId="5" xfId="0" applyFont="1" applyFill="1" applyBorder="1"/>
    <xf numFmtId="0" fontId="36" fillId="0" borderId="0" xfId="0" applyFont="1" applyFill="1" applyBorder="1" applyAlignment="1">
      <alignment horizontal="left" indent="2"/>
    </xf>
    <xf numFmtId="0" fontId="36" fillId="0" borderId="3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 indent="2"/>
    </xf>
    <xf numFmtId="0" fontId="36" fillId="0" borderId="3" xfId="0" applyFont="1" applyFill="1" applyBorder="1"/>
    <xf numFmtId="0" fontId="36" fillId="0" borderId="0" xfId="0" applyFont="1" applyFill="1" applyBorder="1"/>
    <xf numFmtId="0" fontId="36" fillId="0" borderId="6" xfId="0" applyFont="1" applyFill="1" applyBorder="1"/>
    <xf numFmtId="0" fontId="0" fillId="0" borderId="3" xfId="0" applyFont="1" applyBorder="1" applyAlignment="1">
      <alignment horizontal="left"/>
    </xf>
    <xf numFmtId="9" fontId="0" fillId="9" borderId="31" xfId="3" applyFont="1" applyFill="1" applyBorder="1" applyAlignment="1">
      <alignment horizontal="center"/>
    </xf>
    <xf numFmtId="0" fontId="0" fillId="0" borderId="10" xfId="0" applyFont="1" applyBorder="1" applyAlignment="1">
      <alignment horizontal="left" indent="2"/>
    </xf>
    <xf numFmtId="0" fontId="34" fillId="0" borderId="24" xfId="0" applyFont="1" applyBorder="1"/>
    <xf numFmtId="9" fontId="0" fillId="9" borderId="19" xfId="3" applyFont="1" applyFill="1" applyBorder="1" applyAlignment="1">
      <alignment horizontal="center"/>
    </xf>
    <xf numFmtId="10" fontId="0" fillId="9" borderId="31" xfId="3" applyNumberFormat="1" applyFont="1" applyFill="1" applyBorder="1" applyAlignment="1">
      <alignment horizontal="center"/>
    </xf>
    <xf numFmtId="10" fontId="0" fillId="9" borderId="19" xfId="3" applyNumberFormat="1" applyFont="1" applyFill="1" applyBorder="1" applyAlignment="1">
      <alignment horizontal="center"/>
    </xf>
    <xf numFmtId="0" fontId="34" fillId="0" borderId="0" xfId="0" applyFont="1" applyBorder="1"/>
    <xf numFmtId="0" fontId="41" fillId="0" borderId="0" xfId="0" applyFont="1"/>
    <xf numFmtId="0" fontId="28" fillId="8" borderId="1" xfId="0" applyFont="1" applyFill="1" applyBorder="1"/>
    <xf numFmtId="0" fontId="42" fillId="8" borderId="2" xfId="0" applyFont="1" applyFill="1" applyBorder="1"/>
    <xf numFmtId="0" fontId="42" fillId="8" borderId="14" xfId="0" applyFont="1" applyFill="1" applyBorder="1"/>
    <xf numFmtId="0" fontId="28" fillId="8" borderId="14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8" borderId="0" xfId="0" applyFont="1" applyFill="1"/>
    <xf numFmtId="0" fontId="42" fillId="8" borderId="0" xfId="0" applyFont="1" applyFill="1"/>
    <xf numFmtId="0" fontId="5" fillId="0" borderId="40" xfId="0" applyFont="1" applyFill="1" applyBorder="1"/>
    <xf numFmtId="2" fontId="5" fillId="11" borderId="8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12" xfId="0" applyFont="1" applyFill="1" applyBorder="1"/>
    <xf numFmtId="165" fontId="5" fillId="11" borderId="8" xfId="0" applyNumberFormat="1" applyFont="1" applyFill="1" applyBorder="1"/>
    <xf numFmtId="0" fontId="0" fillId="0" borderId="5" xfId="0" applyFont="1" applyBorder="1" applyAlignment="1">
      <alignment horizontal="left" indent="2"/>
    </xf>
    <xf numFmtId="8" fontId="0" fillId="16" borderId="0" xfId="0" applyNumberFormat="1" applyFont="1" applyFill="1" applyBorder="1"/>
    <xf numFmtId="8" fontId="19" fillId="16" borderId="8" xfId="0" applyNumberFormat="1" applyFont="1" applyFill="1" applyBorder="1"/>
    <xf numFmtId="0" fontId="5" fillId="0" borderId="4" xfId="0" applyFont="1" applyFill="1" applyBorder="1"/>
    <xf numFmtId="0" fontId="0" fillId="11" borderId="8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8" xfId="0" applyFont="1" applyFill="1" applyBorder="1"/>
    <xf numFmtId="0" fontId="0" fillId="0" borderId="8" xfId="0" applyFont="1" applyBorder="1"/>
    <xf numFmtId="8" fontId="0" fillId="16" borderId="8" xfId="0" applyNumberFormat="1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10" fontId="5" fillId="17" borderId="8" xfId="0" applyNumberFormat="1" applyFont="1" applyFill="1" applyBorder="1"/>
    <xf numFmtId="0" fontId="28" fillId="8" borderId="0" xfId="0" applyFont="1" applyFill="1" applyAlignment="1">
      <alignment horizontal="left"/>
    </xf>
    <xf numFmtId="0" fontId="28" fillId="8" borderId="0" xfId="0" applyFont="1" applyFill="1" applyAlignment="1">
      <alignment horizontal="right"/>
    </xf>
    <xf numFmtId="6" fontId="0" fillId="0" borderId="0" xfId="0" applyNumberFormat="1" applyFont="1"/>
    <xf numFmtId="0" fontId="36" fillId="0" borderId="8" xfId="0" applyFont="1" applyFill="1" applyBorder="1"/>
    <xf numFmtId="169" fontId="36" fillId="11" borderId="8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67" fontId="36" fillId="0" borderId="0" xfId="2" applyNumberFormat="1" applyFont="1"/>
    <xf numFmtId="166" fontId="5" fillId="17" borderId="8" xfId="0" applyNumberFormat="1" applyFont="1" applyFill="1" applyBorder="1"/>
    <xf numFmtId="3" fontId="36" fillId="11" borderId="8" xfId="0" applyNumberFormat="1" applyFont="1" applyFill="1" applyBorder="1"/>
    <xf numFmtId="166" fontId="0" fillId="17" borderId="8" xfId="0" applyNumberFormat="1" applyFont="1" applyFill="1" applyBorder="1"/>
    <xf numFmtId="10" fontId="36" fillId="3" borderId="8" xfId="3" applyNumberFormat="1" applyFont="1" applyFill="1" applyBorder="1" applyAlignment="1">
      <alignment horizontal="right"/>
    </xf>
    <xf numFmtId="9" fontId="5" fillId="11" borderId="8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3" fontId="5" fillId="0" borderId="0" xfId="0" applyNumberFormat="1" applyFont="1"/>
    <xf numFmtId="0" fontId="0" fillId="0" borderId="0" xfId="0" applyFont="1" applyFill="1" applyBorder="1"/>
    <xf numFmtId="0" fontId="0" fillId="0" borderId="8" xfId="0" applyFont="1" applyFill="1" applyBorder="1"/>
    <xf numFmtId="9" fontId="0" fillId="11" borderId="8" xfId="0" applyNumberFormat="1" applyFont="1" applyFill="1" applyBorder="1"/>
    <xf numFmtId="10" fontId="0" fillId="3" borderId="8" xfId="3" applyNumberFormat="1" applyFont="1" applyFill="1" applyBorder="1" applyAlignment="1">
      <alignment horizontal="right"/>
    </xf>
    <xf numFmtId="0" fontId="5" fillId="0" borderId="11" xfId="0" applyFont="1" applyFill="1" applyBorder="1"/>
    <xf numFmtId="166" fontId="5" fillId="17" borderId="2" xfId="0" applyNumberFormat="1" applyFont="1" applyFill="1" applyBorder="1"/>
    <xf numFmtId="1" fontId="0" fillId="11" borderId="8" xfId="0" applyNumberFormat="1" applyFont="1" applyFill="1" applyBorder="1" applyAlignment="1">
      <alignment horizontal="right"/>
    </xf>
    <xf numFmtId="7" fontId="0" fillId="0" borderId="0" xfId="0" applyNumberFormat="1" applyFont="1"/>
    <xf numFmtId="165" fontId="5" fillId="0" borderId="0" xfId="0" applyNumberFormat="1" applyFont="1"/>
    <xf numFmtId="169" fontId="36" fillId="0" borderId="3" xfId="0" applyNumberFormat="1" applyFont="1" applyFill="1" applyBorder="1" applyAlignment="1">
      <alignment horizontal="left"/>
    </xf>
    <xf numFmtId="0" fontId="0" fillId="16" borderId="8" xfId="0" applyFont="1" applyFill="1" applyBorder="1"/>
    <xf numFmtId="0" fontId="36" fillId="0" borderId="13" xfId="0" applyFont="1" applyFill="1" applyBorder="1"/>
    <xf numFmtId="10" fontId="36" fillId="3" borderId="13" xfId="3" applyNumberFormat="1" applyFont="1" applyFill="1" applyBorder="1" applyAlignment="1">
      <alignment horizontal="right"/>
    </xf>
    <xf numFmtId="0" fontId="0" fillId="0" borderId="13" xfId="0" applyFont="1" applyBorder="1"/>
    <xf numFmtId="8" fontId="0" fillId="16" borderId="9" xfId="0" applyNumberFormat="1" applyFont="1" applyFill="1" applyBorder="1"/>
    <xf numFmtId="8" fontId="0" fillId="16" borderId="13" xfId="0" applyNumberFormat="1" applyFont="1" applyFill="1" applyBorder="1"/>
    <xf numFmtId="0" fontId="5" fillId="0" borderId="7" xfId="0" applyFont="1" applyFill="1" applyBorder="1"/>
    <xf numFmtId="166" fontId="5" fillId="17" borderId="13" xfId="0" applyNumberFormat="1" applyFont="1" applyFill="1" applyBorder="1"/>
    <xf numFmtId="9" fontId="5" fillId="0" borderId="0" xfId="0" applyNumberFormat="1" applyFont="1"/>
    <xf numFmtId="0" fontId="9" fillId="0" borderId="6" xfId="0" applyFont="1" applyBorder="1" applyAlignment="1">
      <alignment horizontal="left" indent="1"/>
    </xf>
    <xf numFmtId="8" fontId="9" fillId="16" borderId="9" xfId="0" applyNumberFormat="1" applyFont="1" applyFill="1" applyBorder="1"/>
    <xf numFmtId="8" fontId="9" fillId="16" borderId="13" xfId="0" applyNumberFormat="1" applyFont="1" applyFill="1" applyBorder="1"/>
    <xf numFmtId="2" fontId="0" fillId="0" borderId="0" xfId="0" applyNumberFormat="1" applyFont="1"/>
    <xf numFmtId="0" fontId="36" fillId="0" borderId="5" xfId="0" applyFont="1" applyFill="1" applyBorder="1"/>
    <xf numFmtId="0" fontId="36" fillId="0" borderId="10" xfId="0" applyFont="1" applyFill="1" applyBorder="1"/>
    <xf numFmtId="0" fontId="36" fillId="0" borderId="12" xfId="0" applyFont="1" applyFill="1" applyBorder="1"/>
    <xf numFmtId="10" fontId="36" fillId="3" borderId="12" xfId="3" applyNumberFormat="1" applyFont="1" applyFill="1" applyBorder="1" applyAlignment="1">
      <alignment horizontal="right"/>
    </xf>
    <xf numFmtId="165" fontId="5" fillId="11" borderId="12" xfId="0" applyNumberFormat="1" applyFont="1" applyFill="1" applyBorder="1"/>
    <xf numFmtId="168" fontId="5" fillId="17" borderId="8" xfId="0" applyNumberFormat="1" applyFont="1" applyFill="1" applyBorder="1"/>
    <xf numFmtId="0" fontId="5" fillId="0" borderId="3" xfId="0" applyFont="1" applyFill="1" applyBorder="1"/>
    <xf numFmtId="165" fontId="0" fillId="11" borderId="8" xfId="0" applyNumberFormat="1" applyFont="1" applyFill="1" applyBorder="1"/>
    <xf numFmtId="10" fontId="5" fillId="0" borderId="0" xfId="0" applyNumberFormat="1" applyFont="1" applyAlignment="1">
      <alignment horizontal="right"/>
    </xf>
    <xf numFmtId="10" fontId="5" fillId="11" borderId="8" xfId="0" applyNumberFormat="1" applyFont="1" applyFill="1" applyBorder="1"/>
    <xf numFmtId="1" fontId="5" fillId="11" borderId="13" xfId="0" applyNumberFormat="1" applyFont="1" applyFill="1" applyBorder="1"/>
    <xf numFmtId="165" fontId="5" fillId="0" borderId="8" xfId="0" applyNumberFormat="1" applyFont="1" applyBorder="1"/>
    <xf numFmtId="3" fontId="5" fillId="11" borderId="8" xfId="0" applyNumberFormat="1" applyFont="1" applyFill="1" applyBorder="1"/>
    <xf numFmtId="171" fontId="5" fillId="0" borderId="0" xfId="0" applyNumberFormat="1" applyFont="1"/>
    <xf numFmtId="10" fontId="0" fillId="11" borderId="8" xfId="3" applyNumberFormat="1" applyFont="1" applyFill="1" applyBorder="1"/>
    <xf numFmtId="169" fontId="5" fillId="11" borderId="12" xfId="0" applyNumberFormat="1" applyFont="1" applyFill="1" applyBorder="1"/>
    <xf numFmtId="10" fontId="0" fillId="17" borderId="8" xfId="0" applyNumberFormat="1" applyFont="1" applyFill="1" applyBorder="1"/>
    <xf numFmtId="0" fontId="0" fillId="0" borderId="0" xfId="0" applyFont="1" applyAlignment="1">
      <alignment horizontal="right"/>
    </xf>
    <xf numFmtId="43" fontId="0" fillId="0" borderId="0" xfId="1" applyFont="1"/>
    <xf numFmtId="169" fontId="5" fillId="17" borderId="8" xfId="0" applyNumberFormat="1" applyFont="1" applyFill="1" applyBorder="1"/>
    <xf numFmtId="171" fontId="0" fillId="0" borderId="0" xfId="0" applyNumberFormat="1" applyFont="1"/>
    <xf numFmtId="0" fontId="5" fillId="0" borderId="1" xfId="0" applyFont="1" applyFill="1" applyBorder="1"/>
    <xf numFmtId="0" fontId="5" fillId="0" borderId="14" xfId="0" applyFont="1" applyFill="1" applyBorder="1"/>
    <xf numFmtId="0" fontId="5" fillId="0" borderId="2" xfId="0" applyFont="1" applyFill="1" applyBorder="1"/>
    <xf numFmtId="10" fontId="0" fillId="11" borderId="8" xfId="0" applyNumberFormat="1" applyFont="1" applyFill="1" applyBorder="1"/>
    <xf numFmtId="0" fontId="36" fillId="0" borderId="4" xfId="0" applyFont="1" applyBorder="1"/>
    <xf numFmtId="7" fontId="36" fillId="11" borderId="8" xfId="0" applyNumberFormat="1" applyFont="1" applyFill="1" applyBorder="1"/>
    <xf numFmtId="0" fontId="42" fillId="0" borderId="0" xfId="0" applyFont="1"/>
    <xf numFmtId="6" fontId="9" fillId="0" borderId="0" xfId="0" applyNumberFormat="1" applyFont="1"/>
    <xf numFmtId="10" fontId="36" fillId="11" borderId="8" xfId="0" applyNumberFormat="1" applyFont="1" applyFill="1" applyBorder="1"/>
    <xf numFmtId="43" fontId="0" fillId="0" borderId="11" xfId="0" applyNumberFormat="1" applyFont="1" applyBorder="1"/>
    <xf numFmtId="40" fontId="0" fillId="0" borderId="0" xfId="0" applyNumberFormat="1" applyFont="1"/>
    <xf numFmtId="43" fontId="0" fillId="0" borderId="0" xfId="0" applyNumberFormat="1" applyFont="1"/>
    <xf numFmtId="168" fontId="5" fillId="0" borderId="0" xfId="1" applyNumberFormat="1" applyFont="1" applyAlignment="1">
      <alignment vertical="center"/>
    </xf>
    <xf numFmtId="0" fontId="43" fillId="17" borderId="4" xfId="0" applyFont="1" applyFill="1" applyBorder="1"/>
    <xf numFmtId="10" fontId="43" fillId="17" borderId="8" xfId="3" applyNumberFormat="1" applyFont="1" applyFill="1" applyBorder="1" applyAlignment="1">
      <alignment horizontal="right"/>
    </xf>
    <xf numFmtId="170" fontId="0" fillId="11" borderId="8" xfId="1" applyNumberFormat="1" applyFont="1" applyFill="1" applyBorder="1"/>
    <xf numFmtId="0" fontId="36" fillId="0" borderId="11" xfId="0" applyFont="1" applyBorder="1"/>
    <xf numFmtId="165" fontId="0" fillId="11" borderId="13" xfId="0" applyNumberFormat="1" applyFont="1" applyFill="1" applyBorder="1"/>
    <xf numFmtId="0" fontId="4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6" fontId="0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" fontId="42" fillId="8" borderId="14" xfId="0" applyNumberFormat="1" applyFont="1" applyFill="1" applyBorder="1" applyAlignment="1">
      <alignment horizontal="center"/>
    </xf>
    <xf numFmtId="1" fontId="42" fillId="8" borderId="2" xfId="0" applyNumberFormat="1" applyFont="1" applyFill="1" applyBorder="1" applyAlignment="1">
      <alignment horizontal="center"/>
    </xf>
    <xf numFmtId="6" fontId="0" fillId="0" borderId="0" xfId="0" applyNumberFormat="1" applyFont="1" applyBorder="1"/>
    <xf numFmtId="6" fontId="0" fillId="0" borderId="8" xfId="0" applyNumberFormat="1" applyFont="1" applyBorder="1"/>
    <xf numFmtId="0" fontId="36" fillId="0" borderId="3" xfId="0" applyFont="1" applyBorder="1" applyAlignment="1">
      <alignment horizontal="left" indent="2"/>
    </xf>
    <xf numFmtId="6" fontId="36" fillId="0" borderId="0" xfId="0" applyNumberFormat="1" applyFont="1" applyBorder="1"/>
    <xf numFmtId="6" fontId="36" fillId="0" borderId="8" xfId="0" applyNumberFormat="1" applyFont="1" applyBorder="1"/>
    <xf numFmtId="0" fontId="36" fillId="0" borderId="6" xfId="0" applyFont="1" applyBorder="1" applyAlignment="1">
      <alignment horizontal="left" indent="2"/>
    </xf>
    <xf numFmtId="6" fontId="36" fillId="0" borderId="9" xfId="0" applyNumberFormat="1" applyFont="1" applyBorder="1"/>
    <xf numFmtId="6" fontId="36" fillId="0" borderId="13" xfId="0" applyNumberFormat="1" applyFont="1" applyBorder="1"/>
    <xf numFmtId="0" fontId="0" fillId="0" borderId="3" xfId="0" applyFont="1" applyBorder="1" applyAlignment="1">
      <alignment horizontal="left" indent="1"/>
    </xf>
    <xf numFmtId="0" fontId="34" fillId="0" borderId="6" xfId="0" applyFont="1" applyBorder="1" applyAlignment="1">
      <alignment horizontal="left" indent="1"/>
    </xf>
    <xf numFmtId="6" fontId="34" fillId="0" borderId="9" xfId="0" applyNumberFormat="1" applyFont="1" applyBorder="1"/>
    <xf numFmtId="6" fontId="34" fillId="0" borderId="13" xfId="0" applyNumberFormat="1" applyFont="1" applyBorder="1"/>
    <xf numFmtId="0" fontId="44" fillId="0" borderId="0" xfId="0" applyFont="1" applyAlignment="1">
      <alignment horizontal="left"/>
    </xf>
    <xf numFmtId="172" fontId="9" fillId="0" borderId="0" xfId="1" applyNumberFormat="1" applyFont="1"/>
    <xf numFmtId="0" fontId="9" fillId="0" borderId="0" xfId="0" applyFont="1"/>
    <xf numFmtId="0" fontId="45" fillId="0" borderId="0" xfId="0" applyFont="1" applyAlignment="1">
      <alignment horizontal="left"/>
    </xf>
    <xf numFmtId="1" fontId="28" fillId="8" borderId="14" xfId="0" applyNumberFormat="1" applyFont="1" applyFill="1" applyBorder="1" applyAlignment="1">
      <alignment horizontal="center"/>
    </xf>
    <xf numFmtId="1" fontId="28" fillId="8" borderId="2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0" xfId="0" applyFont="1" applyBorder="1"/>
    <xf numFmtId="3" fontId="9" fillId="0" borderId="0" xfId="0" applyNumberFormat="1" applyFont="1" applyBorder="1"/>
    <xf numFmtId="3" fontId="9" fillId="0" borderId="8" xfId="0" applyNumberFormat="1" applyFont="1" applyBorder="1"/>
    <xf numFmtId="166" fontId="9" fillId="0" borderId="0" xfId="0" applyNumberFormat="1" applyFont="1"/>
    <xf numFmtId="8" fontId="0" fillId="0" borderId="0" xfId="0" applyNumberFormat="1" applyFont="1" applyBorder="1"/>
    <xf numFmtId="8" fontId="0" fillId="0" borderId="8" xfId="0" applyNumberFormat="1" applyFont="1" applyBorder="1"/>
    <xf numFmtId="6" fontId="5" fillId="0" borderId="0" xfId="0" applyNumberFormat="1" applyFont="1" applyBorder="1"/>
    <xf numFmtId="6" fontId="9" fillId="0" borderId="0" xfId="0" applyNumberFormat="1" applyFont="1" applyBorder="1"/>
    <xf numFmtId="6" fontId="9" fillId="0" borderId="8" xfId="0" applyNumberFormat="1" applyFont="1" applyBorder="1"/>
    <xf numFmtId="6" fontId="5" fillId="0" borderId="8" xfId="0" applyNumberFormat="1" applyFont="1" applyBorder="1"/>
    <xf numFmtId="5" fontId="5" fillId="0" borderId="0" xfId="0" applyNumberFormat="1" applyFont="1" applyBorder="1"/>
    <xf numFmtId="5" fontId="5" fillId="0" borderId="8" xfId="0" applyNumberFormat="1" applyFont="1" applyBorder="1"/>
    <xf numFmtId="0" fontId="36" fillId="0" borderId="3" xfId="0" applyFont="1" applyBorder="1"/>
    <xf numFmtId="5" fontId="36" fillId="0" borderId="0" xfId="0" applyNumberFormat="1" applyFont="1" applyBorder="1"/>
    <xf numFmtId="5" fontId="36" fillId="0" borderId="8" xfId="0" applyNumberFormat="1" applyFont="1" applyBorder="1"/>
    <xf numFmtId="0" fontId="37" fillId="0" borderId="0" xfId="0" applyFont="1"/>
    <xf numFmtId="10" fontId="36" fillId="0" borderId="0" xfId="0" applyNumberFormat="1" applyFont="1"/>
    <xf numFmtId="0" fontId="36" fillId="0" borderId="0" xfId="0" applyFont="1" applyBorder="1"/>
    <xf numFmtId="8" fontId="36" fillId="0" borderId="0" xfId="0" applyNumberFormat="1" applyFont="1"/>
    <xf numFmtId="6" fontId="9" fillId="0" borderId="14" xfId="0" applyNumberFormat="1" applyFont="1" applyBorder="1"/>
    <xf numFmtId="6" fontId="9" fillId="0" borderId="2" xfId="0" applyNumberFormat="1" applyFont="1" applyBorder="1"/>
    <xf numFmtId="8" fontId="9" fillId="0" borderId="0" xfId="0" applyNumberFormat="1" applyFont="1"/>
    <xf numFmtId="5" fontId="5" fillId="0" borderId="10" xfId="0" applyNumberFormat="1" applyFont="1" applyBorder="1"/>
    <xf numFmtId="5" fontId="5" fillId="0" borderId="12" xfId="0" applyNumberFormat="1" applyFont="1" applyBorder="1"/>
    <xf numFmtId="5" fontId="0" fillId="0" borderId="0" xfId="0" applyNumberFormat="1" applyFont="1" applyBorder="1"/>
    <xf numFmtId="5" fontId="0" fillId="0" borderId="8" xfId="0" applyNumberFormat="1" applyFont="1" applyBorder="1"/>
    <xf numFmtId="5" fontId="9" fillId="0" borderId="0" xfId="0" applyNumberFormat="1" applyFont="1" applyBorder="1"/>
    <xf numFmtId="166" fontId="9" fillId="0" borderId="3" xfId="0" applyNumberFormat="1" applyFont="1" applyBorder="1"/>
    <xf numFmtId="10" fontId="5" fillId="0" borderId="3" xfId="0" applyNumberFormat="1" applyFont="1" applyBorder="1"/>
    <xf numFmtId="10" fontId="0" fillId="0" borderId="0" xfId="0" applyNumberFormat="1" applyFont="1" applyBorder="1"/>
    <xf numFmtId="10" fontId="5" fillId="0" borderId="0" xfId="0" applyNumberFormat="1" applyFont="1" applyBorder="1"/>
    <xf numFmtId="10" fontId="5" fillId="0" borderId="8" xfId="0" applyNumberFormat="1" applyFont="1" applyBorder="1"/>
    <xf numFmtId="7" fontId="0" fillId="0" borderId="0" xfId="0" applyNumberFormat="1" applyFont="1" applyBorder="1"/>
    <xf numFmtId="0" fontId="9" fillId="0" borderId="45" xfId="0" applyFont="1" applyBorder="1"/>
    <xf numFmtId="6" fontId="9" fillId="0" borderId="37" xfId="0" applyNumberFormat="1" applyFont="1" applyBorder="1"/>
    <xf numFmtId="6" fontId="9" fillId="0" borderId="46" xfId="0" applyNumberFormat="1" applyFont="1" applyBorder="1"/>
    <xf numFmtId="0" fontId="34" fillId="0" borderId="6" xfId="0" applyFont="1" applyBorder="1"/>
    <xf numFmtId="6" fontId="8" fillId="0" borderId="9" xfId="0" applyNumberFormat="1" applyFont="1" applyBorder="1"/>
    <xf numFmtId="6" fontId="8" fillId="0" borderId="13" xfId="0" applyNumberFormat="1" applyFont="1" applyBorder="1"/>
    <xf numFmtId="165" fontId="9" fillId="0" borderId="0" xfId="0" applyNumberFormat="1" applyFont="1"/>
    <xf numFmtId="6" fontId="5" fillId="0" borderId="0" xfId="0" applyNumberFormat="1" applyFont="1"/>
    <xf numFmtId="173" fontId="5" fillId="0" borderId="0" xfId="0" applyNumberFormat="1" applyFont="1"/>
    <xf numFmtId="174" fontId="9" fillId="0" borderId="0" xfId="0" applyNumberFormat="1" applyFont="1" applyBorder="1"/>
    <xf numFmtId="0" fontId="9" fillId="0" borderId="6" xfId="0" applyFont="1" applyBorder="1"/>
    <xf numFmtId="6" fontId="9" fillId="0" borderId="9" xfId="0" applyNumberFormat="1" applyFont="1" applyBorder="1"/>
    <xf numFmtId="5" fontId="9" fillId="0" borderId="9" xfId="0" applyNumberFormat="1" applyFont="1" applyBorder="1"/>
    <xf numFmtId="5" fontId="9" fillId="0" borderId="13" xfId="0" applyNumberFormat="1" applyFont="1" applyBorder="1"/>
    <xf numFmtId="175" fontId="0" fillId="0" borderId="0" xfId="0" applyNumberFormat="1" applyFont="1"/>
    <xf numFmtId="0" fontId="0" fillId="0" borderId="0" xfId="0" applyFont="1" applyAlignment="1">
      <alignment horizontal="center"/>
    </xf>
    <xf numFmtId="1" fontId="28" fillId="8" borderId="1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6" fontId="9" fillId="0" borderId="0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8" fontId="0" fillId="0" borderId="8" xfId="0" applyNumberFormat="1" applyFont="1" applyBorder="1" applyAlignment="1">
      <alignment horizontal="center"/>
    </xf>
    <xf numFmtId="6" fontId="5" fillId="0" borderId="9" xfId="0" applyNumberFormat="1" applyFont="1" applyBorder="1"/>
    <xf numFmtId="6" fontId="5" fillId="0" borderId="13" xfId="0" applyNumberFormat="1" applyFont="1" applyBorder="1"/>
    <xf numFmtId="38" fontId="42" fillId="8" borderId="14" xfId="0" applyNumberFormat="1" applyFont="1" applyFill="1" applyBorder="1" applyAlignment="1">
      <alignment horizontal="center"/>
    </xf>
    <xf numFmtId="38" fontId="42" fillId="8" borderId="2" xfId="0" applyNumberFormat="1" applyFont="1" applyFill="1" applyBorder="1" applyAlignment="1">
      <alignment horizontal="center"/>
    </xf>
    <xf numFmtId="8" fontId="5" fillId="0" borderId="0" xfId="0" applyNumberFormat="1" applyFont="1" applyBorder="1"/>
    <xf numFmtId="2" fontId="5" fillId="0" borderId="0" xfId="0" applyNumberFormat="1" applyFont="1" applyBorder="1"/>
    <xf numFmtId="2" fontId="5" fillId="0" borderId="8" xfId="0" applyNumberFormat="1" applyFont="1" applyBorder="1"/>
    <xf numFmtId="176" fontId="5" fillId="0" borderId="0" xfId="0" applyNumberFormat="1" applyFont="1" applyBorder="1"/>
    <xf numFmtId="40" fontId="5" fillId="0" borderId="0" xfId="0" applyNumberFormat="1" applyFont="1" applyBorder="1"/>
    <xf numFmtId="40" fontId="5" fillId="0" borderId="9" xfId="0" applyNumberFormat="1" applyFont="1" applyBorder="1"/>
    <xf numFmtId="6" fontId="9" fillId="0" borderId="13" xfId="0" applyNumberFormat="1" applyFont="1" applyBorder="1"/>
    <xf numFmtId="173" fontId="0" fillId="0" borderId="0" xfId="0" applyNumberFormat="1" applyFont="1"/>
    <xf numFmtId="0" fontId="28" fillId="8" borderId="1" xfId="0" applyFont="1" applyFill="1" applyBorder="1" applyAlignment="1">
      <alignment horizontal="left"/>
    </xf>
    <xf numFmtId="166" fontId="28" fillId="8" borderId="2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166" fontId="5" fillId="0" borderId="12" xfId="0" applyNumberFormat="1" applyFont="1" applyBorder="1" applyAlignment="1">
      <alignment horizontal="center"/>
    </xf>
    <xf numFmtId="39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8" fontId="0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/>
    </xf>
    <xf numFmtId="166" fontId="5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28" fillId="8" borderId="5" xfId="0" applyFont="1" applyFill="1" applyBorder="1" applyAlignment="1">
      <alignment horizontal="left"/>
    </xf>
    <xf numFmtId="0" fontId="42" fillId="8" borderId="10" xfId="0" applyFont="1" applyFill="1" applyBorder="1" applyAlignment="1">
      <alignment horizontal="right"/>
    </xf>
    <xf numFmtId="0" fontId="42" fillId="8" borderId="10" xfId="0" applyFont="1" applyFill="1" applyBorder="1"/>
    <xf numFmtId="0" fontId="42" fillId="8" borderId="12" xfId="0" applyFont="1" applyFill="1" applyBorder="1"/>
    <xf numFmtId="10" fontId="0" fillId="0" borderId="0" xfId="3" applyNumberFormat="1" applyFont="1" applyBorder="1"/>
    <xf numFmtId="0" fontId="19" fillId="0" borderId="14" xfId="0" applyFont="1" applyBorder="1" applyAlignment="1">
      <alignment horizontal="right"/>
    </xf>
    <xf numFmtId="165" fontId="19" fillId="0" borderId="14" xfId="0" applyNumberFormat="1" applyFont="1" applyBorder="1"/>
    <xf numFmtId="165" fontId="19" fillId="0" borderId="2" xfId="0" applyNumberFormat="1" applyFont="1" applyBorder="1"/>
    <xf numFmtId="0" fontId="42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7" fontId="0" fillId="0" borderId="0" xfId="2" applyNumberFormat="1" applyFont="1" applyBorder="1"/>
    <xf numFmtId="167" fontId="0" fillId="0" borderId="8" xfId="2" applyNumberFormat="1" applyFont="1" applyBorder="1"/>
    <xf numFmtId="43" fontId="0" fillId="0" borderId="0" xfId="1" applyFont="1" applyBorder="1"/>
    <xf numFmtId="43" fontId="0" fillId="0" borderId="8" xfId="1" applyFont="1" applyBorder="1"/>
    <xf numFmtId="10" fontId="0" fillId="0" borderId="0" xfId="0" applyNumberFormat="1" applyFont="1" applyBorder="1" applyAlignment="1">
      <alignment horizontal="center"/>
    </xf>
    <xf numFmtId="168" fontId="0" fillId="0" borderId="0" xfId="1" applyNumberFormat="1" applyFont="1" applyBorder="1"/>
    <xf numFmtId="168" fontId="0" fillId="0" borderId="8" xfId="1" applyNumberFormat="1" applyFont="1" applyBorder="1"/>
    <xf numFmtId="167" fontId="0" fillId="0" borderId="9" xfId="2" applyNumberFormat="1" applyFont="1" applyBorder="1"/>
    <xf numFmtId="167" fontId="0" fillId="0" borderId="13" xfId="2" applyNumberFormat="1" applyFont="1" applyBorder="1"/>
    <xf numFmtId="0" fontId="46" fillId="0" borderId="0" xfId="0" applyFont="1"/>
    <xf numFmtId="0" fontId="4" fillId="8" borderId="0" xfId="0" applyFont="1" applyFill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2" fillId="20" borderId="0" xfId="0" applyFont="1" applyFill="1" applyAlignment="1">
      <alignment horizontal="center" vertical="center" wrapText="1"/>
    </xf>
    <xf numFmtId="0" fontId="0" fillId="0" borderId="7" xfId="0" applyFont="1" applyBorder="1"/>
    <xf numFmtId="0" fontId="9" fillId="0" borderId="11" xfId="0" applyFont="1" applyBorder="1"/>
    <xf numFmtId="0" fontId="19" fillId="0" borderId="11" xfId="0" applyFont="1" applyBorder="1" applyAlignment="1">
      <alignment horizontal="left"/>
    </xf>
    <xf numFmtId="168" fontId="5" fillId="4" borderId="0" xfId="1" applyNumberFormat="1" applyFont="1" applyFill="1" applyBorder="1"/>
    <xf numFmtId="168" fontId="5" fillId="4" borderId="8" xfId="1" applyNumberFormat="1" applyFont="1" applyFill="1" applyBorder="1"/>
    <xf numFmtId="169" fontId="0" fillId="4" borderId="10" xfId="0" applyNumberFormat="1" applyFont="1" applyFill="1" applyBorder="1"/>
    <xf numFmtId="169" fontId="0" fillId="4" borderId="12" xfId="0" applyNumberFormat="1" applyFont="1" applyFill="1" applyBorder="1"/>
    <xf numFmtId="169" fontId="0" fillId="4" borderId="9" xfId="0" applyNumberFormat="1" applyFont="1" applyFill="1" applyBorder="1"/>
    <xf numFmtId="169" fontId="0" fillId="4" borderId="13" xfId="0" applyNumberFormat="1" applyFont="1" applyFill="1" applyBorder="1"/>
    <xf numFmtId="169" fontId="0" fillId="4" borderId="0" xfId="0" applyNumberFormat="1" applyFont="1" applyFill="1" applyBorder="1"/>
    <xf numFmtId="169" fontId="0" fillId="4" borderId="8" xfId="0" applyNumberFormat="1" applyFont="1" applyFill="1" applyBorder="1"/>
    <xf numFmtId="169" fontId="19" fillId="4" borderId="9" xfId="0" applyNumberFormat="1" applyFont="1" applyFill="1" applyBorder="1"/>
    <xf numFmtId="9" fontId="0" fillId="11" borderId="0" xfId="3" applyFont="1" applyFill="1" applyBorder="1"/>
    <xf numFmtId="9" fontId="0" fillId="4" borderId="8" xfId="3" applyFont="1" applyFill="1" applyBorder="1"/>
    <xf numFmtId="168" fontId="9" fillId="4" borderId="9" xfId="1" applyNumberFormat="1" applyFont="1" applyFill="1" applyBorder="1"/>
    <xf numFmtId="168" fontId="9" fillId="4" borderId="13" xfId="1" applyNumberFormat="1" applyFont="1" applyFill="1" applyBorder="1"/>
    <xf numFmtId="168" fontId="5" fillId="3" borderId="5" xfId="1" applyNumberFormat="1" applyFont="1" applyFill="1" applyBorder="1"/>
    <xf numFmtId="168" fontId="5" fillId="3" borderId="6" xfId="1" applyNumberFormat="1" applyFont="1" applyFill="1" applyBorder="1"/>
    <xf numFmtId="168" fontId="5" fillId="3" borderId="13" xfId="1" applyNumberFormat="1" applyFont="1" applyFill="1" applyBorder="1"/>
    <xf numFmtId="0" fontId="0" fillId="0" borderId="0" xfId="0" applyAlignment="1"/>
    <xf numFmtId="0" fontId="0" fillId="0" borderId="0" xfId="0" applyAlignment="1">
      <alignment horizontal="left" vertical="center"/>
    </xf>
    <xf numFmtId="0" fontId="20" fillId="0" borderId="0" xfId="14" applyAlignment="1">
      <alignment horizontal="left" vertical="center"/>
    </xf>
    <xf numFmtId="165" fontId="0" fillId="0" borderId="0" xfId="3" applyNumberFormat="1" applyFont="1"/>
    <xf numFmtId="1" fontId="0" fillId="0" borderId="0" xfId="3" applyNumberFormat="1" applyFont="1"/>
    <xf numFmtId="167" fontId="0" fillId="0" borderId="0" xfId="2" applyNumberFormat="1" applyFont="1" applyAlignment="1">
      <alignment wrapText="1"/>
    </xf>
    <xf numFmtId="1" fontId="0" fillId="0" borderId="0" xfId="2" applyNumberFormat="1" applyFont="1" applyAlignment="1">
      <alignment wrapText="1"/>
    </xf>
    <xf numFmtId="169" fontId="36" fillId="0" borderId="8" xfId="0" applyNumberFormat="1" applyFont="1" applyFill="1" applyBorder="1" applyAlignment="1">
      <alignment horizontal="right"/>
    </xf>
    <xf numFmtId="10" fontId="36" fillId="0" borderId="8" xfId="3" applyNumberFormat="1" applyFont="1" applyFill="1" applyBorder="1" applyAlignment="1">
      <alignment horizontal="right"/>
    </xf>
    <xf numFmtId="168" fontId="36" fillId="0" borderId="8" xfId="1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center"/>
    </xf>
    <xf numFmtId="165" fontId="0" fillId="0" borderId="0" xfId="3" applyNumberFormat="1" applyFont="1" applyFill="1"/>
    <xf numFmtId="10" fontId="0" fillId="4" borderId="11" xfId="3" applyNumberFormat="1" applyFont="1" applyFill="1" applyBorder="1"/>
    <xf numFmtId="167" fontId="0" fillId="4" borderId="0" xfId="2" applyNumberFormat="1" applyFont="1" applyFill="1" applyBorder="1"/>
    <xf numFmtId="167" fontId="0" fillId="4" borderId="3" xfId="2" applyNumberFormat="1" applyFont="1" applyFill="1" applyBorder="1"/>
    <xf numFmtId="0" fontId="19" fillId="0" borderId="0" xfId="0" applyFont="1" applyFill="1" applyBorder="1"/>
    <xf numFmtId="167" fontId="0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right"/>
    </xf>
    <xf numFmtId="169" fontId="0" fillId="0" borderId="10" xfId="0" applyNumberFormat="1" applyFont="1" applyBorder="1"/>
    <xf numFmtId="167" fontId="0" fillId="4" borderId="5" xfId="2" applyNumberFormat="1" applyFont="1" applyFill="1" applyBorder="1"/>
    <xf numFmtId="167" fontId="0" fillId="4" borderId="10" xfId="2" applyNumberFormat="1" applyFont="1" applyFill="1" applyBorder="1"/>
    <xf numFmtId="167" fontId="0" fillId="4" borderId="12" xfId="2" applyNumberFormat="1" applyFont="1" applyFill="1" applyBorder="1"/>
    <xf numFmtId="167" fontId="0" fillId="4" borderId="6" xfId="2" applyNumberFormat="1" applyFont="1" applyFill="1" applyBorder="1"/>
    <xf numFmtId="167" fontId="0" fillId="4" borderId="9" xfId="2" applyNumberFormat="1" applyFont="1" applyFill="1" applyBorder="1"/>
    <xf numFmtId="167" fontId="0" fillId="4" borderId="13" xfId="2" applyNumberFormat="1" applyFont="1" applyFill="1" applyBorder="1"/>
    <xf numFmtId="167" fontId="0" fillId="4" borderId="8" xfId="2" applyNumberFormat="1" applyFont="1" applyFill="1" applyBorder="1"/>
    <xf numFmtId="167" fontId="0" fillId="0" borderId="0" xfId="2" applyNumberFormat="1" applyFont="1" applyFill="1" applyBorder="1"/>
    <xf numFmtId="0" fontId="27" fillId="0" borderId="0" xfId="0" applyFont="1" applyFill="1" applyBorder="1" applyAlignment="1">
      <alignment horizontal="left"/>
    </xf>
    <xf numFmtId="44" fontId="0" fillId="4" borderId="12" xfId="2" applyFont="1" applyFill="1" applyBorder="1"/>
    <xf numFmtId="44" fontId="0" fillId="4" borderId="8" xfId="2" applyFont="1" applyFill="1" applyBorder="1"/>
    <xf numFmtId="167" fontId="19" fillId="4" borderId="1" xfId="0" applyNumberFormat="1" applyFont="1" applyFill="1" applyBorder="1"/>
    <xf numFmtId="167" fontId="19" fillId="4" borderId="14" xfId="2" applyNumberFormat="1" applyFont="1" applyFill="1" applyBorder="1"/>
    <xf numFmtId="167" fontId="19" fillId="4" borderId="2" xfId="2" applyNumberFormat="1" applyFont="1" applyFill="1" applyBorder="1"/>
    <xf numFmtId="44" fontId="0" fillId="25" borderId="0" xfId="2" applyFont="1" applyFill="1"/>
    <xf numFmtId="167" fontId="26" fillId="24" borderId="10" xfId="18" applyNumberFormat="1" applyFont="1" applyBorder="1"/>
    <xf numFmtId="167" fontId="26" fillId="24" borderId="12" xfId="18" applyNumberFormat="1" applyFont="1" applyBorder="1"/>
    <xf numFmtId="167" fontId="26" fillId="24" borderId="9" xfId="18" applyNumberFormat="1" applyFont="1" applyBorder="1"/>
    <xf numFmtId="167" fontId="26" fillId="24" borderId="13" xfId="18" applyNumberFormat="1" applyFont="1" applyBorder="1"/>
    <xf numFmtId="1" fontId="5" fillId="0" borderId="0" xfId="0" applyNumberFormat="1" applyFont="1"/>
    <xf numFmtId="44" fontId="0" fillId="0" borderId="0" xfId="2" applyFont="1" applyFill="1" applyBorder="1"/>
    <xf numFmtId="0" fontId="7" fillId="14" borderId="0" xfId="15" applyFont="1" applyFill="1" applyAlignment="1">
      <alignment horizontal="left"/>
    </xf>
    <xf numFmtId="177" fontId="7" fillId="0" borderId="0" xfId="15" applyNumberFormat="1" applyFont="1" applyFill="1" applyAlignment="1">
      <alignment horizontal="left"/>
    </xf>
    <xf numFmtId="0" fontId="19" fillId="7" borderId="11" xfId="0" applyFont="1" applyFill="1" applyBorder="1" applyAlignment="1">
      <alignment horizontal="right" vertical="center" wrapText="1"/>
    </xf>
    <xf numFmtId="0" fontId="30" fillId="7" borderId="11" xfId="0" applyFont="1" applyFill="1" applyBorder="1" applyAlignment="1">
      <alignment horizontal="right" vertical="center" wrapText="1"/>
    </xf>
  </cellXfs>
  <cellStyles count="19">
    <cellStyle name="Comma" xfId="1" builtinId="3"/>
    <cellStyle name="Comma 2" xfId="11" xr:uid="{C5A56A6F-4EDB-43FF-9507-FF2F2E101CF7}"/>
    <cellStyle name="Currency" xfId="2" builtinId="4"/>
    <cellStyle name="Dropdown" xfId="16" xr:uid="{1E18F458-DFBE-42C4-93FA-10C2C143831D}"/>
    <cellStyle name="Good" xfId="18" builtinId="26"/>
    <cellStyle name="Heading" xfId="7" xr:uid="{8FE4F839-F6E0-4481-97F9-AE4479C4B020}"/>
    <cellStyle name="Hyperlink" xfId="14" builtinId="8"/>
    <cellStyle name="Input 2" xfId="17" xr:uid="{CEFF2E68-BABB-42D4-A265-8CBBDF93D3F2}"/>
    <cellStyle name="Normal" xfId="0" builtinId="0"/>
    <cellStyle name="Normal 2" xfId="15" xr:uid="{C272A256-5876-47B7-9529-F75FEB3EB9FF}"/>
    <cellStyle name="Normal 30 2" xfId="4" xr:uid="{1D73EC0B-FCDA-4753-89A0-7281C6198EBE}"/>
    <cellStyle name="Normal 4" xfId="12" xr:uid="{367C1F84-65B4-4FA6-A5CF-927771A168B1}"/>
    <cellStyle name="Normal 5 2 2" xfId="5" xr:uid="{310F91FA-E449-43C2-9046-45680AC2F8BD}"/>
    <cellStyle name="Percent" xfId="3" builtinId="5"/>
    <cellStyle name="Percent 10" xfId="6" xr:uid="{D67E511B-D5A7-4ED6-A7C1-AC682255FCE0}"/>
    <cellStyle name="Percent 2" xfId="9" xr:uid="{BB1DFE22-A831-476C-9194-4342B105A526}"/>
    <cellStyle name="Percent 2 2" xfId="13" xr:uid="{790E68DD-33A8-477D-9A16-AB26A2A029DE}"/>
    <cellStyle name="Results" xfId="8" xr:uid="{6CC81B00-7DDD-49A1-A4EA-6C64CE2A55EE}"/>
    <cellStyle name="Subtitle" xfId="10" xr:uid="{7D6CFBA2-1B5C-4177-966B-CD9D0517D195}"/>
  </cellStyles>
  <dxfs count="2">
    <dxf>
      <fill>
        <patternFill patternType="darkUp">
          <bgColor rgb="FFD9D9D9"/>
        </patternFill>
      </fill>
    </dxf>
    <dxf>
      <fill>
        <patternFill patternType="darkUp">
          <bgColor rgb="FFD9D9D9"/>
        </patternFill>
      </fill>
    </dxf>
  </dxfs>
  <tableStyles count="0" defaultTableStyle="TableStyleMedium2" defaultPivotStyle="PivotStyleLight16"/>
  <colors>
    <mruColors>
      <color rgb="FFCCFFCC"/>
      <color rgb="FF99CCFF"/>
      <color rgb="FFFFFF99"/>
      <color rgb="FF0000FF"/>
      <color rgb="FF0050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Gross &amp; Net RECC ($2018/kW-yr nameplate)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67620733296"/>
          <c:y val="0.12389216919724563"/>
          <c:w val="0.81871307605983878"/>
          <c:h val="0.71006476708397059"/>
        </c:manualLayout>
      </c:layout>
      <c:areaChart>
        <c:grouping val="standard"/>
        <c:varyColors val="0"/>
        <c:ser>
          <c:idx val="0"/>
          <c:order val="0"/>
          <c:tx>
            <c:v>Revenues</c:v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multiLvlStrRef>
              <c:f>#REF!</c:f>
            </c:multiLvlStrRef>
          </c:cat>
          <c:val>
            <c:numRef>
              <c:f>RECC!$C$126:$AH$126</c:f>
              <c:numCache>
                <c:formatCode>_("$"* #,##0_);_("$"* \(#,##0\);_("$"* "-"??_);_(@_)</c:formatCode>
                <c:ptCount val="32"/>
                <c:pt idx="0">
                  <c:v>229.70661799172643</c:v>
                </c:pt>
                <c:pt idx="1">
                  <c:v>256.00498749273424</c:v>
                </c:pt>
                <c:pt idx="2">
                  <c:v>190.25690749200956</c:v>
                </c:pt>
                <c:pt idx="3">
                  <c:v>164.54975297826292</c:v>
                </c:pt>
                <c:pt idx="4">
                  <c:v>133.78048592833395</c:v>
                </c:pt>
                <c:pt idx="5">
                  <c:v>129.82572471234749</c:v>
                </c:pt>
                <c:pt idx="6">
                  <c:v>129.26662293819297</c:v>
                </c:pt>
                <c:pt idx="7">
                  <c:v>125.58907994662788</c:v>
                </c:pt>
                <c:pt idx="8">
                  <c:v>119.79380871241072</c:v>
                </c:pt>
                <c:pt idx="9">
                  <c:v>79.515752957626447</c:v>
                </c:pt>
                <c:pt idx="10">
                  <c:v>78.213631955305189</c:v>
                </c:pt>
                <c:pt idx="11">
                  <c:v>80.801838984801819</c:v>
                </c:pt>
                <c:pt idx="12">
                  <c:v>73.953590964531912</c:v>
                </c:pt>
                <c:pt idx="13">
                  <c:v>77.908231950381023</c:v>
                </c:pt>
                <c:pt idx="14">
                  <c:v>74.046158826939219</c:v>
                </c:pt>
                <c:pt idx="15">
                  <c:v>72.28565857189551</c:v>
                </c:pt>
                <c:pt idx="16">
                  <c:v>72.763160230592291</c:v>
                </c:pt>
                <c:pt idx="17">
                  <c:v>69.103115208282915</c:v>
                </c:pt>
                <c:pt idx="18">
                  <c:v>74.765691464425942</c:v>
                </c:pt>
                <c:pt idx="19">
                  <c:v>73.128586183683495</c:v>
                </c:pt>
                <c:pt idx="20">
                  <c:v>68.541364051768994</c:v>
                </c:pt>
                <c:pt idx="21">
                  <c:v>73.683434867452419</c:v>
                </c:pt>
                <c:pt idx="22">
                  <c:v>67.821017276471352</c:v>
                </c:pt>
                <c:pt idx="23">
                  <c:v>72.234466215628998</c:v>
                </c:pt>
                <c:pt idx="24">
                  <c:v>71.820420109790078</c:v>
                </c:pt>
                <c:pt idx="25">
                  <c:v>67.548631149735769</c:v>
                </c:pt>
                <c:pt idx="26">
                  <c:v>71.662725155541253</c:v>
                </c:pt>
                <c:pt idx="27">
                  <c:v>67.953588016535349</c:v>
                </c:pt>
                <c:pt idx="28">
                  <c:v>69.950030915434638</c:v>
                </c:pt>
                <c:pt idx="29">
                  <c:v>59.42</c:v>
                </c:pt>
                <c:pt idx="30">
                  <c:v>59.42</c:v>
                </c:pt>
                <c:pt idx="31">
                  <c:v>59.42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A19-A155-A9DB265D2914}"/>
            </c:ext>
          </c:extLst>
        </c:ser>
        <c:ser>
          <c:idx val="2"/>
          <c:order val="1"/>
          <c:tx>
            <c:v>Net RECC</c:v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RECC!$C$139:$AH$139</c:f>
              <c:numCache>
                <c:formatCode>_("$"* #,##0_);_("$"* \(#,##0\);_("$"* "-"??_);_(@_)</c:formatCode>
                <c:ptCount val="32"/>
                <c:pt idx="0">
                  <c:v>130.12499040727999</c:v>
                </c:pt>
                <c:pt idx="1">
                  <c:v>214.61728705063024</c:v>
                </c:pt>
                <c:pt idx="2">
                  <c:v>146.8587988244131</c:v>
                </c:pt>
                <c:pt idx="3">
                  <c:v>136.15816131327145</c:v>
                </c:pt>
                <c:pt idx="4">
                  <c:v>104.45135350493968</c:v>
                </c:pt>
                <c:pt idx="5">
                  <c:v>101.93247547589556</c:v>
                </c:pt>
                <c:pt idx="6">
                  <c:v>101.59406413805368</c:v>
                </c:pt>
                <c:pt idx="7">
                  <c:v>100.63141530758675</c:v>
                </c:pt>
                <c:pt idx="8">
                  <c:v>95.938611695713888</c:v>
                </c:pt>
                <c:pt idx="9">
                  <c:v>43.201452532029556</c:v>
                </c:pt>
                <c:pt idx="10">
                  <c:v>43.562563046930862</c:v>
                </c:pt>
                <c:pt idx="11">
                  <c:v>43.896879424342941</c:v>
                </c:pt>
                <c:pt idx="12">
                  <c:v>35.983598556528023</c:v>
                </c:pt>
                <c:pt idx="13">
                  <c:v>37.767265246477344</c:v>
                </c:pt>
                <c:pt idx="14">
                  <c:v>30.467491151690275</c:v>
                </c:pt>
                <c:pt idx="15">
                  <c:v>27.331049838459442</c:v>
                </c:pt>
                <c:pt idx="16">
                  <c:v>25.866405608125696</c:v>
                </c:pt>
                <c:pt idx="17">
                  <c:v>19.848616489972322</c:v>
                </c:pt>
                <c:pt idx="18">
                  <c:v>22.594649374417536</c:v>
                </c:pt>
                <c:pt idx="19">
                  <c:v>17.380441731409199</c:v>
                </c:pt>
                <c:pt idx="20">
                  <c:v>13.238004047750188</c:v>
                </c:pt>
                <c:pt idx="21">
                  <c:v>18.198170058392272</c:v>
                </c:pt>
                <c:pt idx="22">
                  <c:v>11.812623757713759</c:v>
                </c:pt>
                <c:pt idx="23">
                  <c:v>15.181748994472663</c:v>
                </c:pt>
                <c:pt idx="24">
                  <c:v>12.471024461516372</c:v>
                </c:pt>
                <c:pt idx="25">
                  <c:v>7.1184466159065067</c:v>
                </c:pt>
                <c:pt idx="26">
                  <c:v>10.099572508274328</c:v>
                </c:pt>
                <c:pt idx="27">
                  <c:v>5.2064084285278867</c:v>
                </c:pt>
                <c:pt idx="28">
                  <c:v>5.9573274364175077</c:v>
                </c:pt>
                <c:pt idx="29">
                  <c:v>-5.8740441781253452</c:v>
                </c:pt>
                <c:pt idx="30">
                  <c:v>-6.3845245174099006</c:v>
                </c:pt>
                <c:pt idx="31">
                  <c:v>-7.4456178473027705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9-4A19-A155-A9DB265D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25263"/>
        <c:axId val="109726927"/>
      </c:areaChart>
      <c:lineChart>
        <c:grouping val="standard"/>
        <c:varyColors val="0"/>
        <c:ser>
          <c:idx val="1"/>
          <c:order val="2"/>
          <c:tx>
            <c:v>Gross RECC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RECC!$C$136:$AH$136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RECC!$C$126:$AH$126</c:f>
              <c:numCache>
                <c:formatCode>_("$"* #,##0_);_("$"* \(#,##0\);_("$"* "-"??_);_(@_)</c:formatCode>
                <c:ptCount val="32"/>
                <c:pt idx="0">
                  <c:v>229.70661799172643</c:v>
                </c:pt>
                <c:pt idx="1">
                  <c:v>256.00498749273424</c:v>
                </c:pt>
                <c:pt idx="2">
                  <c:v>190.25690749200956</c:v>
                </c:pt>
                <c:pt idx="3">
                  <c:v>164.54975297826292</c:v>
                </c:pt>
                <c:pt idx="4">
                  <c:v>133.78048592833395</c:v>
                </c:pt>
                <c:pt idx="5">
                  <c:v>129.82572471234749</c:v>
                </c:pt>
                <c:pt idx="6">
                  <c:v>129.26662293819297</c:v>
                </c:pt>
                <c:pt idx="7">
                  <c:v>125.58907994662788</c:v>
                </c:pt>
                <c:pt idx="8">
                  <c:v>119.79380871241072</c:v>
                </c:pt>
                <c:pt idx="9">
                  <c:v>79.515752957626447</c:v>
                </c:pt>
                <c:pt idx="10">
                  <c:v>78.213631955305189</c:v>
                </c:pt>
                <c:pt idx="11">
                  <c:v>80.801838984801819</c:v>
                </c:pt>
                <c:pt idx="12">
                  <c:v>73.953590964531912</c:v>
                </c:pt>
                <c:pt idx="13">
                  <c:v>77.908231950381023</c:v>
                </c:pt>
                <c:pt idx="14">
                  <c:v>74.046158826939219</c:v>
                </c:pt>
                <c:pt idx="15">
                  <c:v>72.28565857189551</c:v>
                </c:pt>
                <c:pt idx="16">
                  <c:v>72.763160230592291</c:v>
                </c:pt>
                <c:pt idx="17">
                  <c:v>69.103115208282915</c:v>
                </c:pt>
                <c:pt idx="18">
                  <c:v>74.765691464425942</c:v>
                </c:pt>
                <c:pt idx="19">
                  <c:v>73.128586183683495</c:v>
                </c:pt>
                <c:pt idx="20">
                  <c:v>68.541364051768994</c:v>
                </c:pt>
                <c:pt idx="21">
                  <c:v>73.683434867452419</c:v>
                </c:pt>
                <c:pt idx="22">
                  <c:v>67.821017276471352</c:v>
                </c:pt>
                <c:pt idx="23">
                  <c:v>72.234466215628998</c:v>
                </c:pt>
                <c:pt idx="24">
                  <c:v>71.820420109790078</c:v>
                </c:pt>
                <c:pt idx="25">
                  <c:v>67.548631149735769</c:v>
                </c:pt>
                <c:pt idx="26">
                  <c:v>71.662725155541253</c:v>
                </c:pt>
                <c:pt idx="27">
                  <c:v>67.953588016535349</c:v>
                </c:pt>
                <c:pt idx="28">
                  <c:v>69.950030915434638</c:v>
                </c:pt>
                <c:pt idx="29">
                  <c:v>59.42</c:v>
                </c:pt>
                <c:pt idx="30">
                  <c:v>59.42</c:v>
                </c:pt>
                <c:pt idx="31">
                  <c:v>59.42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9-4A19-A155-A9DB265D2914}"/>
            </c:ext>
          </c:extLst>
        </c:ser>
        <c:ser>
          <c:idx val="3"/>
          <c:order val="3"/>
          <c:tx>
            <c:v>Net RECC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RECC!$C$136:$AH$136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RECC!$C$139:$AH$139</c:f>
              <c:numCache>
                <c:formatCode>_("$"* #,##0_);_("$"* \(#,##0\);_("$"* "-"??_);_(@_)</c:formatCode>
                <c:ptCount val="32"/>
                <c:pt idx="0">
                  <c:v>130.12499040727999</c:v>
                </c:pt>
                <c:pt idx="1">
                  <c:v>214.61728705063024</c:v>
                </c:pt>
                <c:pt idx="2">
                  <c:v>146.8587988244131</c:v>
                </c:pt>
                <c:pt idx="3">
                  <c:v>136.15816131327145</c:v>
                </c:pt>
                <c:pt idx="4">
                  <c:v>104.45135350493968</c:v>
                </c:pt>
                <c:pt idx="5">
                  <c:v>101.93247547589556</c:v>
                </c:pt>
                <c:pt idx="6">
                  <c:v>101.59406413805368</c:v>
                </c:pt>
                <c:pt idx="7">
                  <c:v>100.63141530758675</c:v>
                </c:pt>
                <c:pt idx="8">
                  <c:v>95.938611695713888</c:v>
                </c:pt>
                <c:pt idx="9">
                  <c:v>43.201452532029556</c:v>
                </c:pt>
                <c:pt idx="10">
                  <c:v>43.562563046930862</c:v>
                </c:pt>
                <c:pt idx="11">
                  <c:v>43.896879424342941</c:v>
                </c:pt>
                <c:pt idx="12">
                  <c:v>35.983598556528023</c:v>
                </c:pt>
                <c:pt idx="13">
                  <c:v>37.767265246477344</c:v>
                </c:pt>
                <c:pt idx="14">
                  <c:v>30.467491151690275</c:v>
                </c:pt>
                <c:pt idx="15">
                  <c:v>27.331049838459442</c:v>
                </c:pt>
                <c:pt idx="16">
                  <c:v>25.866405608125696</c:v>
                </c:pt>
                <c:pt idx="17">
                  <c:v>19.848616489972322</c:v>
                </c:pt>
                <c:pt idx="18">
                  <c:v>22.594649374417536</c:v>
                </c:pt>
                <c:pt idx="19">
                  <c:v>17.380441731409199</c:v>
                </c:pt>
                <c:pt idx="20">
                  <c:v>13.238004047750188</c:v>
                </c:pt>
                <c:pt idx="21">
                  <c:v>18.198170058392272</c:v>
                </c:pt>
                <c:pt idx="22">
                  <c:v>11.812623757713759</c:v>
                </c:pt>
                <c:pt idx="23">
                  <c:v>15.181748994472663</c:v>
                </c:pt>
                <c:pt idx="24">
                  <c:v>12.471024461516372</c:v>
                </c:pt>
                <c:pt idx="25">
                  <c:v>7.1184466159065067</c:v>
                </c:pt>
                <c:pt idx="26">
                  <c:v>10.099572508274328</c:v>
                </c:pt>
                <c:pt idx="27">
                  <c:v>5.2064084285278867</c:v>
                </c:pt>
                <c:pt idx="28">
                  <c:v>5.9573274364175077</c:v>
                </c:pt>
                <c:pt idx="29">
                  <c:v>-5.8740441781253452</c:v>
                </c:pt>
                <c:pt idx="30">
                  <c:v>-6.3845245174099006</c:v>
                </c:pt>
                <c:pt idx="31">
                  <c:v>-7.4456178473027705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9-4A19-A155-A9DB265D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25263"/>
        <c:axId val="109726927"/>
      </c:lineChart>
      <c:catAx>
        <c:axId val="10972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6927"/>
        <c:crosses val="autoZero"/>
        <c:auto val="1"/>
        <c:lblAlgn val="ctr"/>
        <c:lblOffset val="100"/>
        <c:noMultiLvlLbl val="0"/>
      </c:catAx>
      <c:valAx>
        <c:axId val="10972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$2018/kW-yr nameplate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1655673672481335"/>
          <c:y val="0.13340145458916872"/>
          <c:w val="0.23777267519245074"/>
          <c:h val="0.25604976858808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NPV</a:t>
            </a:r>
            <a:r>
              <a:rPr lang="en-US" baseline="0"/>
              <a:t> Gross RECC and NPV Gross Storage Costs ($2018/kW nameplate)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7130735418829"/>
          <c:y val="0.12389216919724563"/>
          <c:w val="0.8612484922804311"/>
          <c:h val="0.71006476708397059"/>
        </c:manualLayout>
      </c:layout>
      <c:barChart>
        <c:barDir val="col"/>
        <c:grouping val="clustered"/>
        <c:varyColors val="0"/>
        <c:ser>
          <c:idx val="0"/>
          <c:order val="0"/>
          <c:tx>
            <c:v>NPV Gross RECC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RECC!$C$130:$AH$130</c:f>
              <c:numCache>
                <c:formatCode>_("$"* #,##0_);_("$"* \(#,##0\);_("$"* "-"??_);_(@_)</c:formatCode>
                <c:ptCount val="32"/>
                <c:pt idx="0">
                  <c:v>1569.7355735388828</c:v>
                </c:pt>
                <c:pt idx="1">
                  <c:v>1448.9033634773139</c:v>
                </c:pt>
                <c:pt idx="2">
                  <c:v>1297.0206452525138</c:v>
                </c:pt>
                <c:pt idx="3">
                  <c:v>1200.6196489782942</c:v>
                </c:pt>
                <c:pt idx="4">
                  <c:v>1126.2428503547394</c:v>
                </c:pt>
                <c:pt idx="5">
                  <c:v>1078.4635800415494</c:v>
                </c:pt>
                <c:pt idx="6">
                  <c:v>1030.563958921525</c:v>
                </c:pt>
                <c:pt idx="7">
                  <c:v>982.06258376732978</c:v>
                </c:pt>
                <c:pt idx="8">
                  <c:v>933.32050699946626</c:v>
                </c:pt>
                <c:pt idx="9">
                  <c:v>888.42965605029769</c:v>
                </c:pt>
                <c:pt idx="10">
                  <c:v>877.71843424205088</c:v>
                </c:pt>
                <c:pt idx="11">
                  <c:v>867.72931727480977</c:v>
                </c:pt>
                <c:pt idx="12">
                  <c:v>854.61107932987829</c:v>
                </c:pt>
                <c:pt idx="13">
                  <c:v>847.6307325334933</c:v>
                </c:pt>
                <c:pt idx="14">
                  <c:v>836.31775669107572</c:v>
                </c:pt>
                <c:pt idx="15">
                  <c:v>828.25425263318175</c:v>
                </c:pt>
                <c:pt idx="16">
                  <c:v>821.51460745046495</c:v>
                </c:pt>
                <c:pt idx="17">
                  <c:v>813.93250661990851</c:v>
                </c:pt>
                <c:pt idx="18">
                  <c:v>809.59987757387614</c:v>
                </c:pt>
                <c:pt idx="19">
                  <c:v>799.37005899296628</c:v>
                </c:pt>
                <c:pt idx="20">
                  <c:v>790.22339767356459</c:v>
                </c:pt>
                <c:pt idx="21">
                  <c:v>785.16866378652685</c:v>
                </c:pt>
                <c:pt idx="22">
                  <c:v>774.69814359194879</c:v>
                </c:pt>
                <c:pt idx="23">
                  <c:v>769.5230588980769</c:v>
                </c:pt>
                <c:pt idx="24">
                  <c:v>759.65429273766983</c:v>
                </c:pt>
                <c:pt idx="25">
                  <c:v>749.66517577042873</c:v>
                </c:pt>
                <c:pt idx="26">
                  <c:v>743.40693381504855</c:v>
                </c:pt>
                <c:pt idx="27">
                  <c:v>732.69571200680184</c:v>
                </c:pt>
                <c:pt idx="28">
                  <c:v>725.1136111762454</c:v>
                </c:pt>
                <c:pt idx="29">
                  <c:v>715.12449420900418</c:v>
                </c:pt>
                <c:pt idx="30">
                  <c:v>715.12449420900418</c:v>
                </c:pt>
                <c:pt idx="31">
                  <c:v>715.12449420900418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  <c:pt idx="22">
                        <c:v>2043</c:v>
                      </c:pt>
                      <c:pt idx="23">
                        <c:v>2044</c:v>
                      </c:pt>
                      <c:pt idx="24">
                        <c:v>2045</c:v>
                      </c:pt>
                      <c:pt idx="25">
                        <c:v>2046</c:v>
                      </c:pt>
                      <c:pt idx="26">
                        <c:v>2047</c:v>
                      </c:pt>
                      <c:pt idx="27">
                        <c:v>2048</c:v>
                      </c:pt>
                      <c:pt idx="28">
                        <c:v>2049</c:v>
                      </c:pt>
                      <c:pt idx="29">
                        <c:v>2050</c:v>
                      </c:pt>
                      <c:pt idx="30">
                        <c:v>2051</c:v>
                      </c:pt>
                      <c:pt idx="31">
                        <c:v>2052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0C-482E-B23F-5B98189985DA}"/>
            </c:ext>
          </c:extLst>
        </c:ser>
        <c:ser>
          <c:idx val="1"/>
          <c:order val="1"/>
          <c:tx>
            <c:v>NPV Storage Costs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RECC!$C$131:$AH$131</c:f>
              <c:numCache>
                <c:formatCode>_("$"* #,##0_);_("$"* \(#,##0\);_("$"* "-"??_);_(@_)</c:formatCode>
                <c:ptCount val="32"/>
                <c:pt idx="0">
                  <c:v>1569.7355735388828</c:v>
                </c:pt>
                <c:pt idx="1">
                  <c:v>1448.9033634773148</c:v>
                </c:pt>
                <c:pt idx="2">
                  <c:v>1297.020645252514</c:v>
                </c:pt>
                <c:pt idx="3">
                  <c:v>1200.6196489782942</c:v>
                </c:pt>
                <c:pt idx="4">
                  <c:v>1126.2428503547396</c:v>
                </c:pt>
                <c:pt idx="5">
                  <c:v>1078.4635800415494</c:v>
                </c:pt>
                <c:pt idx="6">
                  <c:v>1030.5639589215252</c:v>
                </c:pt>
                <c:pt idx="7">
                  <c:v>982.06258376733012</c:v>
                </c:pt>
                <c:pt idx="8">
                  <c:v>933.32050699946603</c:v>
                </c:pt>
                <c:pt idx="9">
                  <c:v>888.42965605029735</c:v>
                </c:pt>
                <c:pt idx="10">
                  <c:v>877.71843424205099</c:v>
                </c:pt>
                <c:pt idx="11">
                  <c:v>867.72931727480955</c:v>
                </c:pt>
                <c:pt idx="12">
                  <c:v>854.61107932987852</c:v>
                </c:pt>
                <c:pt idx="13">
                  <c:v>847.6307325334933</c:v>
                </c:pt>
                <c:pt idx="14">
                  <c:v>836.3177566910756</c:v>
                </c:pt>
                <c:pt idx="15">
                  <c:v>828.25425263318186</c:v>
                </c:pt>
                <c:pt idx="16">
                  <c:v>821.51460745046461</c:v>
                </c:pt>
                <c:pt idx="17">
                  <c:v>813.93250661990851</c:v>
                </c:pt>
                <c:pt idx="18">
                  <c:v>809.59987757387626</c:v>
                </c:pt>
                <c:pt idx="19">
                  <c:v>799.37005899296628</c:v>
                </c:pt>
                <c:pt idx="20">
                  <c:v>790.22339767356459</c:v>
                </c:pt>
                <c:pt idx="21">
                  <c:v>785.16866378652708</c:v>
                </c:pt>
                <c:pt idx="22">
                  <c:v>774.69814359194868</c:v>
                </c:pt>
                <c:pt idx="23">
                  <c:v>769.52305889807667</c:v>
                </c:pt>
                <c:pt idx="24">
                  <c:v>759.65429273766983</c:v>
                </c:pt>
                <c:pt idx="25">
                  <c:v>749.66517577042873</c:v>
                </c:pt>
                <c:pt idx="26">
                  <c:v>743.40693381504866</c:v>
                </c:pt>
                <c:pt idx="27">
                  <c:v>732.69571200680173</c:v>
                </c:pt>
                <c:pt idx="28">
                  <c:v>725.1136111762454</c:v>
                </c:pt>
                <c:pt idx="29">
                  <c:v>715.12449420900418</c:v>
                </c:pt>
                <c:pt idx="30">
                  <c:v>715.12449420900418</c:v>
                </c:pt>
                <c:pt idx="31">
                  <c:v>715.12449420900418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C-482E-B23F-5B981899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25263"/>
        <c:axId val="109726927"/>
      </c:barChart>
      <c:catAx>
        <c:axId val="10972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6927"/>
        <c:crosses val="autoZero"/>
        <c:auto val="1"/>
        <c:lblAlgn val="ctr"/>
        <c:lblOffset val="100"/>
        <c:noMultiLvlLbl val="0"/>
      </c:catAx>
      <c:valAx>
        <c:axId val="10972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$2018/kW</a:t>
                </a:r>
                <a:r>
                  <a:rPr lang="en-US" baseline="0"/>
                  <a:t> nameplate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82025303341353"/>
          <c:y val="0.1286464728389638"/>
          <c:w val="0.15942473772043073"/>
          <c:h val="0.1732666463902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Levelized</a:t>
            </a:r>
            <a:r>
              <a:rPr lang="en-US" baseline="0"/>
              <a:t> Storage Costs by Vintage and Gross RECC Value ($2018/kW-yr nameplate)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63399171103289"/>
          <c:y val="9.8134496090656304E-2"/>
          <c:w val="0.74209871699587804"/>
          <c:h val="0.69364404657097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RECC!$B$55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accent1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RECC!$C$54:$AF$54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xVal>
          <c:yVal>
            <c:numRef>
              <c:f>RECC!$C$55:$AF$55</c:f>
              <c:numCache>
                <c:formatCode>_("$"* #,##0.00_);_("$"* \(#,##0.00\);_("$"* "-"??_);_(@_)</c:formatCode>
                <c:ptCount val="30"/>
                <c:pt idx="0">
                  <c:v>130.43</c:v>
                </c:pt>
                <c:pt idx="1">
                  <c:v>130.43</c:v>
                </c:pt>
                <c:pt idx="2">
                  <c:v>130.43</c:v>
                </c:pt>
                <c:pt idx="3">
                  <c:v>130.43</c:v>
                </c:pt>
                <c:pt idx="4">
                  <c:v>130.43</c:v>
                </c:pt>
                <c:pt idx="5">
                  <c:v>130.43</c:v>
                </c:pt>
                <c:pt idx="6">
                  <c:v>130.43</c:v>
                </c:pt>
                <c:pt idx="7">
                  <c:v>130.43</c:v>
                </c:pt>
                <c:pt idx="8">
                  <c:v>130.43</c:v>
                </c:pt>
                <c:pt idx="9">
                  <c:v>130.43</c:v>
                </c:pt>
                <c:pt idx="10">
                  <c:v>130.43</c:v>
                </c:pt>
                <c:pt idx="11">
                  <c:v>130.43</c:v>
                </c:pt>
                <c:pt idx="12">
                  <c:v>130.43</c:v>
                </c:pt>
                <c:pt idx="13">
                  <c:v>130.43</c:v>
                </c:pt>
                <c:pt idx="14">
                  <c:v>130.43</c:v>
                </c:pt>
                <c:pt idx="15">
                  <c:v>130.43</c:v>
                </c:pt>
                <c:pt idx="16">
                  <c:v>130.43</c:v>
                </c:pt>
                <c:pt idx="17">
                  <c:v>130.43</c:v>
                </c:pt>
                <c:pt idx="18">
                  <c:v>130.43</c:v>
                </c:pt>
                <c:pt idx="19">
                  <c:v>130.43</c:v>
                </c:pt>
                <c:pt idx="20">
                  <c:v>65.66</c:v>
                </c:pt>
                <c:pt idx="21">
                  <c:v>65.66</c:v>
                </c:pt>
                <c:pt idx="22">
                  <c:v>65.66</c:v>
                </c:pt>
                <c:pt idx="23">
                  <c:v>65.66</c:v>
                </c:pt>
                <c:pt idx="24">
                  <c:v>65.66</c:v>
                </c:pt>
                <c:pt idx="25">
                  <c:v>65.66</c:v>
                </c:pt>
                <c:pt idx="26">
                  <c:v>65.66</c:v>
                </c:pt>
                <c:pt idx="27">
                  <c:v>65.66</c:v>
                </c:pt>
                <c:pt idx="28">
                  <c:v>65.66</c:v>
                </c:pt>
                <c:pt idx="29">
                  <c:v>65.66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6-487F-A380-CDB651135398}"/>
            </c:ext>
          </c:extLst>
        </c:ser>
        <c:ser>
          <c:idx val="1"/>
          <c:order val="1"/>
          <c:tx>
            <c:strRef>
              <c:f>RECC!$B$56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RECC!$D$54:$AF$54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RECC!$D$56:$AF$56</c:f>
              <c:numCache>
                <c:formatCode>_("$"* #,##0.00_);_("$"* \(#,##0.00\);_("$"* "-"??_);_(@_)</c:formatCode>
                <c:ptCount val="29"/>
                <c:pt idx="0">
                  <c:v>120.39000000000001</c:v>
                </c:pt>
                <c:pt idx="1">
                  <c:v>120.39000000000001</c:v>
                </c:pt>
                <c:pt idx="2">
                  <c:v>120.39000000000001</c:v>
                </c:pt>
                <c:pt idx="3">
                  <c:v>120.39000000000001</c:v>
                </c:pt>
                <c:pt idx="4">
                  <c:v>120.39000000000001</c:v>
                </c:pt>
                <c:pt idx="5">
                  <c:v>120.39000000000001</c:v>
                </c:pt>
                <c:pt idx="6">
                  <c:v>120.39000000000001</c:v>
                </c:pt>
                <c:pt idx="7">
                  <c:v>120.39000000000001</c:v>
                </c:pt>
                <c:pt idx="8">
                  <c:v>120.39000000000001</c:v>
                </c:pt>
                <c:pt idx="9">
                  <c:v>120.39000000000001</c:v>
                </c:pt>
                <c:pt idx="10">
                  <c:v>120.39000000000001</c:v>
                </c:pt>
                <c:pt idx="11">
                  <c:v>120.39000000000001</c:v>
                </c:pt>
                <c:pt idx="12">
                  <c:v>120.39000000000001</c:v>
                </c:pt>
                <c:pt idx="13">
                  <c:v>120.39000000000001</c:v>
                </c:pt>
                <c:pt idx="14">
                  <c:v>120.39000000000001</c:v>
                </c:pt>
                <c:pt idx="15">
                  <c:v>120.39000000000001</c:v>
                </c:pt>
                <c:pt idx="16">
                  <c:v>120.39000000000001</c:v>
                </c:pt>
                <c:pt idx="17">
                  <c:v>120.39000000000001</c:v>
                </c:pt>
                <c:pt idx="18">
                  <c:v>120.39000000000001</c:v>
                </c:pt>
                <c:pt idx="19">
                  <c:v>120.39000000000001</c:v>
                </c:pt>
                <c:pt idx="20">
                  <c:v>65.239999999999995</c:v>
                </c:pt>
                <c:pt idx="21">
                  <c:v>65.239999999999995</c:v>
                </c:pt>
                <c:pt idx="22">
                  <c:v>65.239999999999995</c:v>
                </c:pt>
                <c:pt idx="23">
                  <c:v>65.239999999999995</c:v>
                </c:pt>
                <c:pt idx="24">
                  <c:v>65.239999999999995</c:v>
                </c:pt>
                <c:pt idx="25">
                  <c:v>65.239999999999995</c:v>
                </c:pt>
                <c:pt idx="26">
                  <c:v>65.239999999999995</c:v>
                </c:pt>
                <c:pt idx="27">
                  <c:v>65.239999999999995</c:v>
                </c:pt>
                <c:pt idx="28">
                  <c:v>65.239999999999995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6-487F-A380-CDB651135398}"/>
            </c:ext>
          </c:extLst>
        </c:ser>
        <c:ser>
          <c:idx val="2"/>
          <c:order val="2"/>
          <c:tx>
            <c:strRef>
              <c:f>RECC!$B$57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RECC!$E$54:$AF$54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xVal>
          <c:yVal>
            <c:numRef>
              <c:f>RECC!$E$57:$AF$57</c:f>
              <c:numCache>
                <c:formatCode>_("$"* #,##0.00_);_("$"* \(#,##0.00\);_("$"* "-"??_);_(@_)</c:formatCode>
                <c:ptCount val="28"/>
                <c:pt idx="0">
                  <c:v>107.77</c:v>
                </c:pt>
                <c:pt idx="1">
                  <c:v>107.77</c:v>
                </c:pt>
                <c:pt idx="2">
                  <c:v>107.77</c:v>
                </c:pt>
                <c:pt idx="3">
                  <c:v>107.77</c:v>
                </c:pt>
                <c:pt idx="4">
                  <c:v>107.77</c:v>
                </c:pt>
                <c:pt idx="5">
                  <c:v>107.77</c:v>
                </c:pt>
                <c:pt idx="6">
                  <c:v>107.77</c:v>
                </c:pt>
                <c:pt idx="7">
                  <c:v>107.77</c:v>
                </c:pt>
                <c:pt idx="8">
                  <c:v>107.77</c:v>
                </c:pt>
                <c:pt idx="9">
                  <c:v>107.77</c:v>
                </c:pt>
                <c:pt idx="10">
                  <c:v>107.77</c:v>
                </c:pt>
                <c:pt idx="11">
                  <c:v>107.77</c:v>
                </c:pt>
                <c:pt idx="12">
                  <c:v>107.77</c:v>
                </c:pt>
                <c:pt idx="13">
                  <c:v>107.77</c:v>
                </c:pt>
                <c:pt idx="14">
                  <c:v>107.77</c:v>
                </c:pt>
                <c:pt idx="15">
                  <c:v>107.77</c:v>
                </c:pt>
                <c:pt idx="16">
                  <c:v>107.77</c:v>
                </c:pt>
                <c:pt idx="17">
                  <c:v>107.77</c:v>
                </c:pt>
                <c:pt idx="18">
                  <c:v>107.77</c:v>
                </c:pt>
                <c:pt idx="19">
                  <c:v>107.77</c:v>
                </c:pt>
                <c:pt idx="20">
                  <c:v>64.37</c:v>
                </c:pt>
                <c:pt idx="21">
                  <c:v>64.37</c:v>
                </c:pt>
                <c:pt idx="22">
                  <c:v>64.37</c:v>
                </c:pt>
                <c:pt idx="23">
                  <c:v>64.37</c:v>
                </c:pt>
                <c:pt idx="24">
                  <c:v>64.37</c:v>
                </c:pt>
                <c:pt idx="25">
                  <c:v>64.37</c:v>
                </c:pt>
                <c:pt idx="26">
                  <c:v>64.37</c:v>
                </c:pt>
                <c:pt idx="27">
                  <c:v>64.37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6-487F-A380-CDB651135398}"/>
            </c:ext>
          </c:extLst>
        </c:ser>
        <c:ser>
          <c:idx val="3"/>
          <c:order val="3"/>
          <c:tx>
            <c:strRef>
              <c:f>RECC!$B$58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RECC!$F$54:$AF$54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xVal>
          <c:yVal>
            <c:numRef>
              <c:f>RECC!$F$58:$AF$58</c:f>
              <c:numCache>
                <c:formatCode>_("$"* #,##0.00_);_("$"* \(#,##0.00\);_("$"* "-"??_);_(@_)</c:formatCode>
                <c:ptCount val="27"/>
                <c:pt idx="0">
                  <c:v>99.76</c:v>
                </c:pt>
                <c:pt idx="1">
                  <c:v>99.76</c:v>
                </c:pt>
                <c:pt idx="2">
                  <c:v>99.76</c:v>
                </c:pt>
                <c:pt idx="3">
                  <c:v>99.76</c:v>
                </c:pt>
                <c:pt idx="4">
                  <c:v>99.76</c:v>
                </c:pt>
                <c:pt idx="5">
                  <c:v>99.76</c:v>
                </c:pt>
                <c:pt idx="6">
                  <c:v>99.76</c:v>
                </c:pt>
                <c:pt idx="7">
                  <c:v>99.76</c:v>
                </c:pt>
                <c:pt idx="8">
                  <c:v>99.76</c:v>
                </c:pt>
                <c:pt idx="9">
                  <c:v>99.76</c:v>
                </c:pt>
                <c:pt idx="10">
                  <c:v>99.76</c:v>
                </c:pt>
                <c:pt idx="11">
                  <c:v>99.76</c:v>
                </c:pt>
                <c:pt idx="12">
                  <c:v>99.76</c:v>
                </c:pt>
                <c:pt idx="13">
                  <c:v>99.76</c:v>
                </c:pt>
                <c:pt idx="14">
                  <c:v>99.76</c:v>
                </c:pt>
                <c:pt idx="15">
                  <c:v>99.76</c:v>
                </c:pt>
                <c:pt idx="16">
                  <c:v>99.76</c:v>
                </c:pt>
                <c:pt idx="17">
                  <c:v>99.76</c:v>
                </c:pt>
                <c:pt idx="18">
                  <c:v>99.76</c:v>
                </c:pt>
                <c:pt idx="19">
                  <c:v>99.76</c:v>
                </c:pt>
                <c:pt idx="20">
                  <c:v>63.94</c:v>
                </c:pt>
                <c:pt idx="21">
                  <c:v>63.94</c:v>
                </c:pt>
                <c:pt idx="22">
                  <c:v>63.94</c:v>
                </c:pt>
                <c:pt idx="23">
                  <c:v>63.94</c:v>
                </c:pt>
                <c:pt idx="24">
                  <c:v>63.94</c:v>
                </c:pt>
                <c:pt idx="25">
                  <c:v>63.94</c:v>
                </c:pt>
                <c:pt idx="26">
                  <c:v>63.94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6-487F-A380-CDB651135398}"/>
            </c:ext>
          </c:extLst>
        </c:ser>
        <c:ser>
          <c:idx val="4"/>
          <c:order val="4"/>
          <c:tx>
            <c:strRef>
              <c:f>RECC!$B$59</c:f>
              <c:strCache>
                <c:ptCount val="1"/>
                <c:pt idx="0">
                  <c:v>2025</c:v>
                </c:pt>
              </c:strCache>
            </c:strRef>
          </c:tx>
          <c:spPr>
            <a:ln w="19050" cap="rnd">
              <a:solidFill>
                <a:schemeClr val="accent1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RECC!$G$54:$AF$54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xVal>
          <c:yVal>
            <c:numRef>
              <c:f>RECC!$G$59:$AF$59</c:f>
              <c:numCache>
                <c:formatCode>_("$"* #,##0.00_);_("$"* \(#,##0.00\);_("$"* "-"??_);_(@_)</c:formatCode>
                <c:ptCount val="26"/>
                <c:pt idx="0">
                  <c:v>93.580000000000013</c:v>
                </c:pt>
                <c:pt idx="1">
                  <c:v>93.580000000000013</c:v>
                </c:pt>
                <c:pt idx="2">
                  <c:v>93.580000000000013</c:v>
                </c:pt>
                <c:pt idx="3">
                  <c:v>93.580000000000013</c:v>
                </c:pt>
                <c:pt idx="4">
                  <c:v>93.580000000000013</c:v>
                </c:pt>
                <c:pt idx="5">
                  <c:v>93.580000000000013</c:v>
                </c:pt>
                <c:pt idx="6">
                  <c:v>93.580000000000013</c:v>
                </c:pt>
                <c:pt idx="7">
                  <c:v>93.580000000000013</c:v>
                </c:pt>
                <c:pt idx="8">
                  <c:v>93.580000000000013</c:v>
                </c:pt>
                <c:pt idx="9">
                  <c:v>93.580000000000013</c:v>
                </c:pt>
                <c:pt idx="10">
                  <c:v>93.580000000000013</c:v>
                </c:pt>
                <c:pt idx="11">
                  <c:v>93.580000000000013</c:v>
                </c:pt>
                <c:pt idx="12">
                  <c:v>93.580000000000013</c:v>
                </c:pt>
                <c:pt idx="13">
                  <c:v>93.580000000000013</c:v>
                </c:pt>
                <c:pt idx="14">
                  <c:v>93.580000000000013</c:v>
                </c:pt>
                <c:pt idx="15">
                  <c:v>93.580000000000013</c:v>
                </c:pt>
                <c:pt idx="16">
                  <c:v>93.580000000000013</c:v>
                </c:pt>
                <c:pt idx="17">
                  <c:v>93.580000000000013</c:v>
                </c:pt>
                <c:pt idx="18">
                  <c:v>93.580000000000013</c:v>
                </c:pt>
                <c:pt idx="19">
                  <c:v>93.580000000000013</c:v>
                </c:pt>
                <c:pt idx="20">
                  <c:v>63.12</c:v>
                </c:pt>
                <c:pt idx="21">
                  <c:v>63.12</c:v>
                </c:pt>
                <c:pt idx="22">
                  <c:v>63.12</c:v>
                </c:pt>
                <c:pt idx="23">
                  <c:v>63.12</c:v>
                </c:pt>
                <c:pt idx="24">
                  <c:v>63.12</c:v>
                </c:pt>
                <c:pt idx="25">
                  <c:v>63.12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6-487F-A380-CDB651135398}"/>
            </c:ext>
          </c:extLst>
        </c:ser>
        <c:ser>
          <c:idx val="5"/>
          <c:order val="5"/>
          <c:tx>
            <c:strRef>
              <c:f>RECC!$B$60</c:f>
              <c:strCache>
                <c:ptCount val="1"/>
                <c:pt idx="0">
                  <c:v>2026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RECC!$H$54:$AF$54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RECC!$H$60:$AF$60</c:f>
              <c:numCache>
                <c:formatCode>_("$"* #,##0.00_);_("$"* \(#,##0.00\);_("$"* "-"??_);_(@_)</c:formatCode>
                <c:ptCount val="25"/>
                <c:pt idx="0">
                  <c:v>89.61</c:v>
                </c:pt>
                <c:pt idx="1">
                  <c:v>89.61</c:v>
                </c:pt>
                <c:pt idx="2">
                  <c:v>89.61</c:v>
                </c:pt>
                <c:pt idx="3">
                  <c:v>89.61</c:v>
                </c:pt>
                <c:pt idx="4">
                  <c:v>89.61</c:v>
                </c:pt>
                <c:pt idx="5">
                  <c:v>89.61</c:v>
                </c:pt>
                <c:pt idx="6">
                  <c:v>89.61</c:v>
                </c:pt>
                <c:pt idx="7">
                  <c:v>89.61</c:v>
                </c:pt>
                <c:pt idx="8">
                  <c:v>89.61</c:v>
                </c:pt>
                <c:pt idx="9">
                  <c:v>89.61</c:v>
                </c:pt>
                <c:pt idx="10">
                  <c:v>89.61</c:v>
                </c:pt>
                <c:pt idx="11">
                  <c:v>89.61</c:v>
                </c:pt>
                <c:pt idx="12">
                  <c:v>89.61</c:v>
                </c:pt>
                <c:pt idx="13">
                  <c:v>89.61</c:v>
                </c:pt>
                <c:pt idx="14">
                  <c:v>89.61</c:v>
                </c:pt>
                <c:pt idx="15">
                  <c:v>89.61</c:v>
                </c:pt>
                <c:pt idx="16">
                  <c:v>89.61</c:v>
                </c:pt>
                <c:pt idx="17">
                  <c:v>89.61</c:v>
                </c:pt>
                <c:pt idx="18">
                  <c:v>89.61</c:v>
                </c:pt>
                <c:pt idx="19">
                  <c:v>89.61</c:v>
                </c:pt>
                <c:pt idx="20">
                  <c:v>62.290000000000006</c:v>
                </c:pt>
                <c:pt idx="21">
                  <c:v>62.290000000000006</c:v>
                </c:pt>
                <c:pt idx="22">
                  <c:v>62.290000000000006</c:v>
                </c:pt>
                <c:pt idx="23">
                  <c:v>62.290000000000006</c:v>
                </c:pt>
                <c:pt idx="24">
                  <c:v>62.290000000000006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6-487F-A380-CDB651135398}"/>
            </c:ext>
          </c:extLst>
        </c:ser>
        <c:ser>
          <c:idx val="6"/>
          <c:order val="6"/>
          <c:tx>
            <c:strRef>
              <c:f>RECC!$B$61</c:f>
              <c:strCache>
                <c:ptCount val="1"/>
                <c:pt idx="0">
                  <c:v>2027</c:v>
                </c:pt>
              </c:strCache>
            </c:strRef>
          </c:tx>
          <c:spPr>
            <a:ln w="19050" cap="rnd">
              <a:solidFill>
                <a:schemeClr val="accent1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RECC!$I$54:$AF$54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xVal>
          <c:yVal>
            <c:numRef>
              <c:f>RECC!$I$61:$AF$61</c:f>
              <c:numCache>
                <c:formatCode>_("$"* #,##0.00_);_("$"* \(#,##0.00\);_("$"* "-"??_);_(@_)</c:formatCode>
                <c:ptCount val="24"/>
                <c:pt idx="0">
                  <c:v>85.63000000000001</c:v>
                </c:pt>
                <c:pt idx="1">
                  <c:v>85.63000000000001</c:v>
                </c:pt>
                <c:pt idx="2">
                  <c:v>85.63000000000001</c:v>
                </c:pt>
                <c:pt idx="3">
                  <c:v>85.63000000000001</c:v>
                </c:pt>
                <c:pt idx="4">
                  <c:v>85.63000000000001</c:v>
                </c:pt>
                <c:pt idx="5">
                  <c:v>85.63000000000001</c:v>
                </c:pt>
                <c:pt idx="6">
                  <c:v>85.63000000000001</c:v>
                </c:pt>
                <c:pt idx="7">
                  <c:v>85.63000000000001</c:v>
                </c:pt>
                <c:pt idx="8">
                  <c:v>85.63000000000001</c:v>
                </c:pt>
                <c:pt idx="9">
                  <c:v>85.63000000000001</c:v>
                </c:pt>
                <c:pt idx="10">
                  <c:v>85.63000000000001</c:v>
                </c:pt>
                <c:pt idx="11">
                  <c:v>85.63000000000001</c:v>
                </c:pt>
                <c:pt idx="12">
                  <c:v>85.63000000000001</c:v>
                </c:pt>
                <c:pt idx="13">
                  <c:v>85.63000000000001</c:v>
                </c:pt>
                <c:pt idx="14">
                  <c:v>85.63000000000001</c:v>
                </c:pt>
                <c:pt idx="15">
                  <c:v>85.63000000000001</c:v>
                </c:pt>
                <c:pt idx="16">
                  <c:v>85.63000000000001</c:v>
                </c:pt>
                <c:pt idx="17">
                  <c:v>85.63000000000001</c:v>
                </c:pt>
                <c:pt idx="18">
                  <c:v>85.63000000000001</c:v>
                </c:pt>
                <c:pt idx="19">
                  <c:v>85.63000000000001</c:v>
                </c:pt>
                <c:pt idx="20">
                  <c:v>61.769999999999996</c:v>
                </c:pt>
                <c:pt idx="21">
                  <c:v>61.769999999999996</c:v>
                </c:pt>
                <c:pt idx="22">
                  <c:v>61.769999999999996</c:v>
                </c:pt>
                <c:pt idx="23">
                  <c:v>61.769999999999996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6-487F-A380-CDB651135398}"/>
            </c:ext>
          </c:extLst>
        </c:ser>
        <c:ser>
          <c:idx val="7"/>
          <c:order val="7"/>
          <c:tx>
            <c:strRef>
              <c:f>RECC!$B$62</c:f>
              <c:strCache>
                <c:ptCount val="1"/>
                <c:pt idx="0">
                  <c:v>2028</c:v>
                </c:pt>
              </c:strCache>
            </c:strRef>
          </c:tx>
          <c:spPr>
            <a:ln w="1905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RECC!$J$54:$AF$54</c:f>
              <c:numCache>
                <c:formatCode>General</c:formatCode>
                <c:ptCount val="23"/>
                <c:pt idx="0">
                  <c:v>2028</c:v>
                </c:pt>
                <c:pt idx="1">
                  <c:v>2029</c:v>
                </c:pt>
                <c:pt idx="2">
                  <c:v>2030</c:v>
                </c:pt>
                <c:pt idx="3">
                  <c:v>2031</c:v>
                </c:pt>
                <c:pt idx="4">
                  <c:v>2032</c:v>
                </c:pt>
                <c:pt idx="5">
                  <c:v>2033</c:v>
                </c:pt>
                <c:pt idx="6">
                  <c:v>2034</c:v>
                </c:pt>
                <c:pt idx="7">
                  <c:v>2035</c:v>
                </c:pt>
                <c:pt idx="8">
                  <c:v>2036</c:v>
                </c:pt>
                <c:pt idx="9">
                  <c:v>2037</c:v>
                </c:pt>
                <c:pt idx="10">
                  <c:v>2038</c:v>
                </c:pt>
                <c:pt idx="11">
                  <c:v>2039</c:v>
                </c:pt>
                <c:pt idx="12">
                  <c:v>2040</c:v>
                </c:pt>
                <c:pt idx="13">
                  <c:v>2041</c:v>
                </c:pt>
                <c:pt idx="14">
                  <c:v>2042</c:v>
                </c:pt>
                <c:pt idx="15">
                  <c:v>2043</c:v>
                </c:pt>
                <c:pt idx="16">
                  <c:v>2044</c:v>
                </c:pt>
                <c:pt idx="17">
                  <c:v>2045</c:v>
                </c:pt>
                <c:pt idx="18">
                  <c:v>2046</c:v>
                </c:pt>
                <c:pt idx="19">
                  <c:v>2047</c:v>
                </c:pt>
                <c:pt idx="20">
                  <c:v>2048</c:v>
                </c:pt>
                <c:pt idx="21">
                  <c:v>2049</c:v>
                </c:pt>
                <c:pt idx="22">
                  <c:v>2050</c:v>
                </c:pt>
              </c:numCache>
            </c:numRef>
          </c:xVal>
          <c:yVal>
            <c:numRef>
              <c:f>RECC!$J$62:$AF$62</c:f>
              <c:numCache>
                <c:formatCode>_("$"* #,##0.00_);_("$"* \(#,##0.00\);_("$"* "-"??_);_(@_)</c:formatCode>
                <c:ptCount val="23"/>
                <c:pt idx="0">
                  <c:v>81.600000000000009</c:v>
                </c:pt>
                <c:pt idx="1">
                  <c:v>81.600000000000009</c:v>
                </c:pt>
                <c:pt idx="2">
                  <c:v>81.600000000000009</c:v>
                </c:pt>
                <c:pt idx="3">
                  <c:v>81.600000000000009</c:v>
                </c:pt>
                <c:pt idx="4">
                  <c:v>81.600000000000009</c:v>
                </c:pt>
                <c:pt idx="5">
                  <c:v>81.600000000000009</c:v>
                </c:pt>
                <c:pt idx="6">
                  <c:v>81.600000000000009</c:v>
                </c:pt>
                <c:pt idx="7">
                  <c:v>81.600000000000009</c:v>
                </c:pt>
                <c:pt idx="8">
                  <c:v>81.600000000000009</c:v>
                </c:pt>
                <c:pt idx="9">
                  <c:v>81.600000000000009</c:v>
                </c:pt>
                <c:pt idx="10">
                  <c:v>81.600000000000009</c:v>
                </c:pt>
                <c:pt idx="11">
                  <c:v>81.600000000000009</c:v>
                </c:pt>
                <c:pt idx="12">
                  <c:v>81.600000000000009</c:v>
                </c:pt>
                <c:pt idx="13">
                  <c:v>81.600000000000009</c:v>
                </c:pt>
                <c:pt idx="14">
                  <c:v>81.600000000000009</c:v>
                </c:pt>
                <c:pt idx="15">
                  <c:v>81.600000000000009</c:v>
                </c:pt>
                <c:pt idx="16">
                  <c:v>81.600000000000009</c:v>
                </c:pt>
                <c:pt idx="17">
                  <c:v>81.600000000000009</c:v>
                </c:pt>
                <c:pt idx="18">
                  <c:v>81.600000000000009</c:v>
                </c:pt>
                <c:pt idx="19">
                  <c:v>81.600000000000009</c:v>
                </c:pt>
                <c:pt idx="20">
                  <c:v>60.879999999999995</c:v>
                </c:pt>
                <c:pt idx="21">
                  <c:v>60.879999999999995</c:v>
                </c:pt>
                <c:pt idx="22">
                  <c:v>60.879999999999995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6-487F-A380-CDB651135398}"/>
            </c:ext>
          </c:extLst>
        </c:ser>
        <c:ser>
          <c:idx val="8"/>
          <c:order val="8"/>
          <c:tx>
            <c:strRef>
              <c:f>RECC!$B$63</c:f>
              <c:strCache>
                <c:ptCount val="1"/>
                <c:pt idx="0">
                  <c:v>2029</c:v>
                </c:pt>
              </c:strCache>
            </c:strRef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RECC!$K$54:$AF$54</c:f>
              <c:numCache>
                <c:formatCode>General</c:formatCode>
                <c:ptCount val="22"/>
                <c:pt idx="0">
                  <c:v>2029</c:v>
                </c:pt>
                <c:pt idx="1">
                  <c:v>2030</c:v>
                </c:pt>
                <c:pt idx="2">
                  <c:v>2031</c:v>
                </c:pt>
                <c:pt idx="3">
                  <c:v>2032</c:v>
                </c:pt>
                <c:pt idx="4">
                  <c:v>2033</c:v>
                </c:pt>
                <c:pt idx="5">
                  <c:v>2034</c:v>
                </c:pt>
                <c:pt idx="6">
                  <c:v>2035</c:v>
                </c:pt>
                <c:pt idx="7">
                  <c:v>2036</c:v>
                </c:pt>
                <c:pt idx="8">
                  <c:v>2037</c:v>
                </c:pt>
                <c:pt idx="9">
                  <c:v>2038</c:v>
                </c:pt>
                <c:pt idx="10">
                  <c:v>2039</c:v>
                </c:pt>
                <c:pt idx="11">
                  <c:v>2040</c:v>
                </c:pt>
                <c:pt idx="12">
                  <c:v>2041</c:v>
                </c:pt>
                <c:pt idx="13">
                  <c:v>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</c:v>
                </c:pt>
                <c:pt idx="18">
                  <c:v>2047</c:v>
                </c:pt>
                <c:pt idx="19">
                  <c:v>2048</c:v>
                </c:pt>
                <c:pt idx="20">
                  <c:v>2049</c:v>
                </c:pt>
                <c:pt idx="21">
                  <c:v>2050</c:v>
                </c:pt>
              </c:numCache>
            </c:numRef>
          </c:xVal>
          <c:yVal>
            <c:numRef>
              <c:f>RECC!$K$63:$AF$63</c:f>
              <c:numCache>
                <c:formatCode>_("$"* #,##0.00_);_("$"* \(#,##0.00\);_("$"* "-"??_);_(@_)</c:formatCode>
                <c:ptCount val="22"/>
                <c:pt idx="0">
                  <c:v>77.550000000000011</c:v>
                </c:pt>
                <c:pt idx="1">
                  <c:v>77.550000000000011</c:v>
                </c:pt>
                <c:pt idx="2">
                  <c:v>77.550000000000011</c:v>
                </c:pt>
                <c:pt idx="3">
                  <c:v>77.550000000000011</c:v>
                </c:pt>
                <c:pt idx="4">
                  <c:v>77.550000000000011</c:v>
                </c:pt>
                <c:pt idx="5">
                  <c:v>77.550000000000011</c:v>
                </c:pt>
                <c:pt idx="6">
                  <c:v>77.550000000000011</c:v>
                </c:pt>
                <c:pt idx="7">
                  <c:v>77.550000000000011</c:v>
                </c:pt>
                <c:pt idx="8">
                  <c:v>77.550000000000011</c:v>
                </c:pt>
                <c:pt idx="9">
                  <c:v>77.550000000000011</c:v>
                </c:pt>
                <c:pt idx="10">
                  <c:v>77.550000000000011</c:v>
                </c:pt>
                <c:pt idx="11">
                  <c:v>77.550000000000011</c:v>
                </c:pt>
                <c:pt idx="12">
                  <c:v>77.550000000000011</c:v>
                </c:pt>
                <c:pt idx="13">
                  <c:v>77.550000000000011</c:v>
                </c:pt>
                <c:pt idx="14">
                  <c:v>77.550000000000011</c:v>
                </c:pt>
                <c:pt idx="15">
                  <c:v>77.550000000000011</c:v>
                </c:pt>
                <c:pt idx="16">
                  <c:v>77.550000000000011</c:v>
                </c:pt>
                <c:pt idx="17">
                  <c:v>77.550000000000011</c:v>
                </c:pt>
                <c:pt idx="18">
                  <c:v>77.550000000000011</c:v>
                </c:pt>
                <c:pt idx="19">
                  <c:v>77.550000000000011</c:v>
                </c:pt>
                <c:pt idx="20">
                  <c:v>60.25</c:v>
                </c:pt>
                <c:pt idx="21">
                  <c:v>60.25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06-487F-A380-CDB651135398}"/>
            </c:ext>
          </c:extLst>
        </c:ser>
        <c:ser>
          <c:idx val="9"/>
          <c:order val="9"/>
          <c:tx>
            <c:strRef>
              <c:f>RECC!$B$64</c:f>
              <c:strCache>
                <c:ptCount val="1"/>
                <c:pt idx="0">
                  <c:v>2030</c:v>
                </c:pt>
              </c:strCache>
            </c:strRef>
          </c:tx>
          <c:spPr>
            <a:ln w="19050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RECC!$L$54:$AF$54</c:f>
              <c:numCache>
                <c:formatCode>General</c:formatCode>
                <c:ptCount val="21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</c:numCache>
            </c:numRef>
          </c:xVal>
          <c:yVal>
            <c:numRef>
              <c:f>RECC!$L$64:$AF$64</c:f>
              <c:numCache>
                <c:formatCode>_("$"* #,##0.00_);_("$"* \(#,##0.00\);_("$"* "-"??_);_(@_)</c:formatCode>
                <c:ptCount val="21"/>
                <c:pt idx="0">
                  <c:v>73.819999999999993</c:v>
                </c:pt>
                <c:pt idx="1">
                  <c:v>73.819999999999993</c:v>
                </c:pt>
                <c:pt idx="2">
                  <c:v>73.819999999999993</c:v>
                </c:pt>
                <c:pt idx="3">
                  <c:v>73.819999999999993</c:v>
                </c:pt>
                <c:pt idx="4">
                  <c:v>73.819999999999993</c:v>
                </c:pt>
                <c:pt idx="5">
                  <c:v>73.819999999999993</c:v>
                </c:pt>
                <c:pt idx="6">
                  <c:v>73.819999999999993</c:v>
                </c:pt>
                <c:pt idx="7">
                  <c:v>73.819999999999993</c:v>
                </c:pt>
                <c:pt idx="8">
                  <c:v>73.819999999999993</c:v>
                </c:pt>
                <c:pt idx="9">
                  <c:v>73.819999999999993</c:v>
                </c:pt>
                <c:pt idx="10">
                  <c:v>73.819999999999993</c:v>
                </c:pt>
                <c:pt idx="11">
                  <c:v>73.819999999999993</c:v>
                </c:pt>
                <c:pt idx="12">
                  <c:v>73.819999999999993</c:v>
                </c:pt>
                <c:pt idx="13">
                  <c:v>73.819999999999993</c:v>
                </c:pt>
                <c:pt idx="14">
                  <c:v>73.819999999999993</c:v>
                </c:pt>
                <c:pt idx="15">
                  <c:v>73.819999999999993</c:v>
                </c:pt>
                <c:pt idx="16">
                  <c:v>73.819999999999993</c:v>
                </c:pt>
                <c:pt idx="17">
                  <c:v>73.819999999999993</c:v>
                </c:pt>
                <c:pt idx="18">
                  <c:v>73.819999999999993</c:v>
                </c:pt>
                <c:pt idx="19">
                  <c:v>73.819999999999993</c:v>
                </c:pt>
                <c:pt idx="20">
                  <c:v>59.42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06-487F-A380-CDB651135398}"/>
            </c:ext>
          </c:extLst>
        </c:ser>
        <c:ser>
          <c:idx val="10"/>
          <c:order val="10"/>
          <c:tx>
            <c:v>Gross RECC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RECC!$C$54:$AF$54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xVal>
          <c:yVal>
            <c:numRef>
              <c:f>RECC!$C$126:$AF$126</c:f>
              <c:numCache>
                <c:formatCode>_("$"* #,##0_);_("$"* \(#,##0\);_("$"* "-"??_);_(@_)</c:formatCode>
                <c:ptCount val="30"/>
                <c:pt idx="0">
                  <c:v>229.70661799172643</c:v>
                </c:pt>
                <c:pt idx="1">
                  <c:v>256.00498749273424</c:v>
                </c:pt>
                <c:pt idx="2">
                  <c:v>190.25690749200956</c:v>
                </c:pt>
                <c:pt idx="3">
                  <c:v>164.54975297826292</c:v>
                </c:pt>
                <c:pt idx="4">
                  <c:v>133.78048592833395</c:v>
                </c:pt>
                <c:pt idx="5">
                  <c:v>129.82572471234749</c:v>
                </c:pt>
                <c:pt idx="6">
                  <c:v>129.26662293819297</c:v>
                </c:pt>
                <c:pt idx="7">
                  <c:v>125.58907994662788</c:v>
                </c:pt>
                <c:pt idx="8">
                  <c:v>119.79380871241072</c:v>
                </c:pt>
                <c:pt idx="9">
                  <c:v>79.515752957626447</c:v>
                </c:pt>
                <c:pt idx="10">
                  <c:v>78.213631955305189</c:v>
                </c:pt>
                <c:pt idx="11">
                  <c:v>80.801838984801819</c:v>
                </c:pt>
                <c:pt idx="12">
                  <c:v>73.953590964531912</c:v>
                </c:pt>
                <c:pt idx="13">
                  <c:v>77.908231950381023</c:v>
                </c:pt>
                <c:pt idx="14">
                  <c:v>74.046158826939219</c:v>
                </c:pt>
                <c:pt idx="15">
                  <c:v>72.28565857189551</c:v>
                </c:pt>
                <c:pt idx="16">
                  <c:v>72.763160230592291</c:v>
                </c:pt>
                <c:pt idx="17">
                  <c:v>69.103115208282915</c:v>
                </c:pt>
                <c:pt idx="18">
                  <c:v>74.765691464425942</c:v>
                </c:pt>
                <c:pt idx="19">
                  <c:v>73.128586183683495</c:v>
                </c:pt>
                <c:pt idx="20">
                  <c:v>68.541364051768994</c:v>
                </c:pt>
                <c:pt idx="21">
                  <c:v>73.683434867452419</c:v>
                </c:pt>
                <c:pt idx="22">
                  <c:v>67.821017276471352</c:v>
                </c:pt>
                <c:pt idx="23">
                  <c:v>72.234466215628998</c:v>
                </c:pt>
                <c:pt idx="24">
                  <c:v>71.820420109790078</c:v>
                </c:pt>
                <c:pt idx="25">
                  <c:v>67.548631149735769</c:v>
                </c:pt>
                <c:pt idx="26">
                  <c:v>71.662725155541253</c:v>
                </c:pt>
                <c:pt idx="27">
                  <c:v>67.953588016535349</c:v>
                </c:pt>
                <c:pt idx="28">
                  <c:v>69.950030915434638</c:v>
                </c:pt>
                <c:pt idx="29">
                  <c:v>59.42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06-487F-A380-CDB65113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501008"/>
        <c:axId val="1077502256"/>
      </c:scatterChart>
      <c:valAx>
        <c:axId val="1077501008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7502256"/>
        <c:crosses val="autoZero"/>
        <c:crossBetween val="midCat"/>
        <c:majorUnit val="2"/>
      </c:valAx>
      <c:valAx>
        <c:axId val="1077502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$2018/kW-yr nameplate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750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59735182920361"/>
          <c:y val="0.11902284844388922"/>
          <c:w val="0.1345613898684776"/>
          <c:h val="0.86457637879129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Net RECC, per nameplate and effective capacity</a:t>
            </a:r>
            <a:r>
              <a:rPr lang="en-US" baseline="0"/>
              <a:t> ($nominal/kW-yr)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67620733296"/>
          <c:y val="0.16111849521122742"/>
          <c:w val="0.81871307605983878"/>
          <c:h val="0.67283858740735358"/>
        </c:manualLayout>
      </c:layout>
      <c:lineChart>
        <c:grouping val="standard"/>
        <c:varyColors val="0"/>
        <c:ser>
          <c:idx val="0"/>
          <c:order val="0"/>
          <c:tx>
            <c:v>RECC - $/nameplate kW-yr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RECC!$C$151:$AH$151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RECC!$C$152:$AH$152</c:f>
              <c:numCache>
                <c:formatCode>_("$"* #,##0_);_("$"* \(#,##0\);_("$"* "-"??_);_(@_)</c:formatCode>
                <c:ptCount val="32"/>
                <c:pt idx="0">
                  <c:v>138.08968082012879</c:v>
                </c:pt>
                <c:pt idx="1">
                  <c:v>232.30865359555372</c:v>
                </c:pt>
                <c:pt idx="2">
                  <c:v>162.14398056304523</c:v>
                </c:pt>
                <c:pt idx="3">
                  <c:v>153.33620434709175</c:v>
                </c:pt>
                <c:pt idx="4">
                  <c:v>119.98177273769258</c:v>
                </c:pt>
                <c:pt idx="5">
                  <c:v>119.4301411201164</c:v>
                </c:pt>
                <c:pt idx="6">
                  <c:v>121.41431106752637</c:v>
                </c:pt>
                <c:pt idx="7">
                  <c:v>122.66913373612323</c:v>
                </c:pt>
                <c:pt idx="8">
                  <c:v>119.28760496550133</c:v>
                </c:pt>
                <c:pt idx="9">
                  <c:v>54.789887686929781</c:v>
                </c:pt>
                <c:pt idx="10">
                  <c:v>56.352820397071284</c:v>
                </c:pt>
                <c:pt idx="11">
                  <c:v>57.921000165152066</c:v>
                </c:pt>
                <c:pt idx="12">
                  <c:v>48.429185996196907</c:v>
                </c:pt>
                <c:pt idx="13">
                  <c:v>51.846361850729565</c:v>
                </c:pt>
                <c:pt idx="14">
                  <c:v>42.661843049475422</c:v>
                </c:pt>
                <c:pt idx="15">
                  <c:v>39.03546937409979</c:v>
                </c:pt>
                <c:pt idx="16">
                  <c:v>37.682468683053209</c:v>
                </c:pt>
                <c:pt idx="17">
                  <c:v>29.493999987047392</c:v>
                </c:pt>
                <c:pt idx="18">
                  <c:v>34.245949608978876</c:v>
                </c:pt>
                <c:pt idx="19">
                  <c:v>26.869809585863354</c:v>
                </c:pt>
                <c:pt idx="20">
                  <c:v>20.874998842260005</c:v>
                </c:pt>
                <c:pt idx="21">
                  <c:v>29.270614594202861</c:v>
                </c:pt>
                <c:pt idx="22">
                  <c:v>19.37986134726167</c:v>
                </c:pt>
                <c:pt idx="23">
                  <c:v>25.405413774926547</c:v>
                </c:pt>
                <c:pt idx="24">
                  <c:v>21.286623003222708</c:v>
                </c:pt>
                <c:pt idx="25">
                  <c:v>12.393387868650102</c:v>
                </c:pt>
                <c:pt idx="26">
                  <c:v>17.935272213092613</c:v>
                </c:pt>
                <c:pt idx="27">
                  <c:v>9.4306882185873242</c:v>
                </c:pt>
                <c:pt idx="28">
                  <c:v>11.006691543496617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1-46E3-87E7-724DD48ED227}"/>
            </c:ext>
          </c:extLst>
        </c:ser>
        <c:ser>
          <c:idx val="2"/>
          <c:order val="1"/>
          <c:tx>
            <c:v>RECC - $/effective kW-yr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RECC!$C$151:$AH$151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RECC!$C$153:$AH$153</c:f>
              <c:numCache>
                <c:formatCode>_("$"* #,##0_);_("$"* \(#,##0\);_("$"* "-"??_);_(@_)</c:formatCode>
                <c:ptCount val="32"/>
                <c:pt idx="0">
                  <c:v>138.08968082012879</c:v>
                </c:pt>
                <c:pt idx="1">
                  <c:v>232.30865359555372</c:v>
                </c:pt>
                <c:pt idx="2">
                  <c:v>164.60381339080325</c:v>
                </c:pt>
                <c:pt idx="3">
                  <c:v>257.04994547803307</c:v>
                </c:pt>
                <c:pt idx="4">
                  <c:v>242.07978839943976</c:v>
                </c:pt>
                <c:pt idx="5">
                  <c:v>240.96679546551115</c:v>
                </c:pt>
                <c:pt idx="6">
                  <c:v>244.97013222290042</c:v>
                </c:pt>
                <c:pt idx="7">
                  <c:v>247.50191016851267</c:v>
                </c:pt>
                <c:pt idx="8">
                  <c:v>240.67920909833919</c:v>
                </c:pt>
                <c:pt idx="9">
                  <c:v>110.5461614296874</c:v>
                </c:pt>
                <c:pt idx="10">
                  <c:v>125.81831222411944</c:v>
                </c:pt>
                <c:pt idx="11">
                  <c:v>144.74754690228687</c:v>
                </c:pt>
                <c:pt idx="12">
                  <c:v>121.02701699618834</c:v>
                </c:pt>
                <c:pt idx="13">
                  <c:v>129.56671453019121</c:v>
                </c:pt>
                <c:pt idx="14">
                  <c:v>106.61413149176295</c:v>
                </c:pt>
                <c:pt idx="15">
                  <c:v>107.3865845847569</c:v>
                </c:pt>
                <c:pt idx="16">
                  <c:v>115.28751961271598</c:v>
                </c:pt>
                <c:pt idx="17">
                  <c:v>101.63029696572698</c:v>
                </c:pt>
                <c:pt idx="18">
                  <c:v>135.0599891219095</c:v>
                </c:pt>
                <c:pt idx="19">
                  <c:v>123.87348863658231</c:v>
                </c:pt>
                <c:pt idx="20">
                  <c:v>96.236593103206303</c:v>
                </c:pt>
                <c:pt idx="21">
                  <c:v>134.94152732025273</c:v>
                </c:pt>
                <c:pt idx="22">
                  <c:v>89.343805236401124</c:v>
                </c:pt>
                <c:pt idx="23">
                  <c:v>117.1224241280725</c:v>
                </c:pt>
                <c:pt idx="24">
                  <c:v>98.134236652283846</c:v>
                </c:pt>
                <c:pt idx="25">
                  <c:v>57.135209180033996</c:v>
                </c:pt>
                <c:pt idx="26">
                  <c:v>82.684052210456059</c:v>
                </c:pt>
                <c:pt idx="27">
                  <c:v>43.476759526235838</c:v>
                </c:pt>
                <c:pt idx="28">
                  <c:v>50.742349903254294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1-46E3-87E7-724DD48E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25263"/>
        <c:axId val="109726927"/>
      </c:lineChart>
      <c:catAx>
        <c:axId val="10972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6927"/>
        <c:crosses val="autoZero"/>
        <c:auto val="1"/>
        <c:lblAlgn val="ctr"/>
        <c:lblOffset val="100"/>
        <c:tickMarkSkip val="2"/>
        <c:noMultiLvlLbl val="0"/>
      </c:catAx>
      <c:valAx>
        <c:axId val="10972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nominal/kW-yr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725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68658491074475"/>
          <c:y val="0.15725443030838329"/>
          <c:w val="0.39893988319083307"/>
          <c:h val="0.1732666463902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Price Forecast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'IRP Inputs'!$D$100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'IRP Inputs'!$B$101:$B$112</c:f>
              <c:numCache>
                <c:formatCode>General</c:formatCode>
                <c:ptCount val="12"/>
              </c:numCache>
            </c:numRef>
          </c:cat>
          <c:val>
            <c:numRef>
              <c:f>'IRP Inputs'!$D$101:$D$112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8D0-8D0D-81604E04D3FE}"/>
            </c:ext>
          </c:extLst>
        </c:ser>
        <c:ser>
          <c:idx val="1"/>
          <c:order val="1"/>
          <c:tx>
            <c:strRef>
              <c:f>'IRP Inputs'!$G$100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'IRP Inputs'!$B$101:$B$112</c:f>
              <c:numCache>
                <c:formatCode>General</c:formatCode>
                <c:ptCount val="12"/>
              </c:numCache>
            </c:numRef>
          </c:cat>
          <c:val>
            <c:numRef>
              <c:f>'IRP Inputs'!$G$101:$G$112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B-48D0-8D0D-81604E04D3FE}"/>
            </c:ext>
          </c:extLst>
        </c:ser>
        <c:ser>
          <c:idx val="2"/>
          <c:order val="2"/>
          <c:tx>
            <c:strRef>
              <c:f>'IRP Inputs'!$L$100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'IRP Inputs'!$B$101:$B$112</c:f>
              <c:numCache>
                <c:formatCode>General</c:formatCode>
                <c:ptCount val="12"/>
              </c:numCache>
            </c:numRef>
          </c:cat>
          <c:val>
            <c:numRef>
              <c:f>'IRP Inputs'!$L$101:$L$112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B-48D0-8D0D-81604E04D3FE}"/>
            </c:ext>
          </c:extLst>
        </c:ser>
        <c:ser>
          <c:idx val="3"/>
          <c:order val="3"/>
          <c:tx>
            <c:strRef>
              <c:f>'IRP Inputs'!$Q$100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'IRP Inputs'!$B$101:$B$112</c:f>
              <c:numCache>
                <c:formatCode>General</c:formatCode>
                <c:ptCount val="12"/>
              </c:numCache>
            </c:numRef>
          </c:cat>
          <c:val>
            <c:numRef>
              <c:f>'IRP Inputs'!$Q$101:$Q$112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B-48D0-8D0D-81604E04D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5504"/>
        <c:axId val="46967040"/>
      </c:lineChart>
      <c:catAx>
        <c:axId val="469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7040"/>
        <c:crosses val="autoZero"/>
        <c:auto val="1"/>
        <c:lblAlgn val="ctr"/>
        <c:lblOffset val="100"/>
        <c:noMultiLvlLbl val="1"/>
      </c:catAx>
      <c:valAx>
        <c:axId val="469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$/MMBtu nominal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584834</xdr:colOff>
      <xdr:row>13</xdr:row>
      <xdr:rowOff>131445</xdr:rowOff>
    </xdr:from>
    <xdr:to>
      <xdr:col>8</xdr:col>
      <xdr:colOff>421004</xdr:colOff>
      <xdr:row>21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4EC140-3E67-4C86-BA37-EC41691A20A1}"/>
            </a:ext>
          </a:extLst>
        </xdr:cNvPr>
        <xdr:cNvSpPr txBox="1"/>
      </xdr:nvSpPr>
      <xdr:spPr>
        <a:xfrm>
          <a:off x="584834" y="2446020"/>
          <a:ext cx="5617845" cy="1291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spreadsheet included the inputs from the CPUC IRP proceeding</a:t>
          </a:r>
          <a:r>
            <a:rPr lang="en-US" sz="1100" baseline="0"/>
            <a:t> and shows the calculations of capacity avoided cost assuming battery storage resource is the marginal resource to provide capacity</a:t>
          </a:r>
          <a:endParaRPr lang="en-US" sz="1100"/>
        </a:p>
      </xdr:txBody>
    </xdr:sp>
    <xdr:clientData/>
  </xdr:twoCellAnchor>
  <xdr:twoCellAnchor editAs="oneCell">
    <xdr:from>
      <xdr:col>1</xdr:col>
      <xdr:colOff>19050</xdr:colOff>
      <xdr:row>4</xdr:row>
      <xdr:rowOff>47625</xdr:rowOff>
    </xdr:from>
    <xdr:to>
      <xdr:col>4</xdr:col>
      <xdr:colOff>441275</xdr:colOff>
      <xdr:row>7</xdr:row>
      <xdr:rowOff>50800</xdr:rowOff>
    </xdr:to>
    <xdr:pic>
      <xdr:nvPicPr>
        <xdr:cNvPr id="3" name="Picture 2" descr="E3 fin logos">
          <a:extLst>
            <a:ext uri="{FF2B5EF4-FFF2-40B4-BE49-F238E27FC236}">
              <a16:creationId xmlns:a16="http://schemas.microsoft.com/office/drawing/2014/main" id="{D27450E5-D44D-4768-A374-2E09B977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40" t="19754" b="65335"/>
        <a:stretch>
          <a:fillRect/>
        </a:stretch>
      </xdr:blipFill>
      <xdr:spPr bwMode="auto">
        <a:xfrm>
          <a:off x="619125" y="904875"/>
          <a:ext cx="339529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47625</xdr:rowOff>
    </xdr:from>
    <xdr:to>
      <xdr:col>4</xdr:col>
      <xdr:colOff>441275</xdr:colOff>
      <xdr:row>7</xdr:row>
      <xdr:rowOff>50800</xdr:rowOff>
    </xdr:to>
    <xdr:pic>
      <xdr:nvPicPr>
        <xdr:cNvPr id="4" name="Picture 1" descr="E3 fin logos">
          <a:extLst>
            <a:ext uri="{FF2B5EF4-FFF2-40B4-BE49-F238E27FC236}">
              <a16:creationId xmlns:a16="http://schemas.microsoft.com/office/drawing/2014/main" id="{B40C2349-BB06-4579-9494-539A3120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40" t="19754" b="65335"/>
        <a:stretch>
          <a:fillRect/>
        </a:stretch>
      </xdr:blipFill>
      <xdr:spPr bwMode="auto">
        <a:xfrm>
          <a:off x="619125" y="904875"/>
          <a:ext cx="339529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185494</xdr:colOff>
      <xdr:row>154</xdr:row>
      <xdr:rowOff>3884</xdr:rowOff>
    </xdr:from>
    <xdr:to>
      <xdr:col>29</xdr:col>
      <xdr:colOff>74144</xdr:colOff>
      <xdr:row>169</xdr:row>
      <xdr:rowOff>44823</xdr:rowOff>
    </xdr:to>
    <xdr:graphicFrame macro="">
      <xdr:nvGraphicFramePr>
        <xdr:cNvPr id="29" name="Chart 7">
          <a:extLst>
            <a:ext uri="{FF2B5EF4-FFF2-40B4-BE49-F238E27FC236}">
              <a16:creationId xmlns:a16="http://schemas.microsoft.com/office/drawing/2014/main" id="{FCC434BE-64B2-43C8-82A1-591DEF25F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127076</xdr:colOff>
      <xdr:row>153</xdr:row>
      <xdr:rowOff>166892</xdr:rowOff>
    </xdr:from>
    <xdr:to>
      <xdr:col>22</xdr:col>
      <xdr:colOff>221730</xdr:colOff>
      <xdr:row>169</xdr:row>
      <xdr:rowOff>33618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2A4B7119-9D29-4995-9CB6-86CAEDDC6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1957294</xdr:colOff>
      <xdr:row>153</xdr:row>
      <xdr:rowOff>119454</xdr:rowOff>
    </xdr:from>
    <xdr:to>
      <xdr:col>10</xdr:col>
      <xdr:colOff>171823</xdr:colOff>
      <xdr:row>169</xdr:row>
      <xdr:rowOff>184298</xdr:rowOff>
    </xdr:to>
    <xdr:graphicFrame macro="">
      <xdr:nvGraphicFramePr>
        <xdr:cNvPr id="31" name="Chart 13">
          <a:extLst>
            <a:ext uri="{FF2B5EF4-FFF2-40B4-BE49-F238E27FC236}">
              <a16:creationId xmlns:a16="http://schemas.microsoft.com/office/drawing/2014/main" id="{5F59BEE1-015B-4DF5-9FB4-05245E76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33</xdr:row>
      <xdr:rowOff>33618</xdr:rowOff>
    </xdr:from>
    <xdr:to>
      <xdr:col>10</xdr:col>
      <xdr:colOff>67235</xdr:colOff>
      <xdr:row>49</xdr:row>
      <xdr:rowOff>56029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4C8212A5-1DBD-4515-9F78-87AE5A869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381000</xdr:colOff>
      <xdr:row>154</xdr:row>
      <xdr:rowOff>31713</xdr:rowOff>
    </xdr:from>
    <xdr:to>
      <xdr:col>10</xdr:col>
      <xdr:colOff>31712</xdr:colOff>
      <xdr:row>155</xdr:row>
      <xdr:rowOff>134470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00D9E1-C03F-0A7F-61F5-A2841E7BD141}"/>
            </a:ext>
          </a:extLst>
        </xdr:cNvPr>
        <xdr:cNvSpPr txBox="1"/>
      </xdr:nvSpPr>
      <xdr:spPr>
        <a:xfrm>
          <a:off x="10399059" y="28091242"/>
          <a:ext cx="1085065" cy="282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u="sng">
              <a:latin typeface="Arial" panose="020B0604020202020204" pitchFamily="34" charset="0"/>
              <a:cs typeface="Arial" panose="020B0604020202020204" pitchFamily="34" charset="0"/>
            </a:rPr>
            <a:t>Vintage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70673</xdr:colOff>
      <xdr:row>118</xdr:row>
      <xdr:rowOff>134021</xdr:rowOff>
    </xdr:from>
    <xdr:to>
      <xdr:col>13</xdr:col>
      <xdr:colOff>241598</xdr:colOff>
      <xdr:row>136</xdr:row>
      <xdr:rowOff>155313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11845-29AA-41E3-B4BE-9AA2EBF98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ffs01/rv%20team/Link%20Busta%20(DO%20NOT%20DELETE%20THIS%20FIL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M:/USERS/EMosley/General%20Marketing/Bloomberg%20One%20Pa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nk Busta (DO NOT DELETE THIS "/>
      <sheetName val="Traffic_Rev"/>
      <sheetName val="RTL-IP-Dep-FA"/>
      <sheetName val="IA - Summary"/>
      <sheetName val="Assumptions"/>
      <sheetName val="#REF"/>
      <sheetName val="IPRD"/>
      <sheetName val="Inventec"/>
      <sheetName val="Broadcom"/>
      <sheetName val="VARS"/>
      <sheetName val="7 Qtr (1Q00-3Q01)"/>
      <sheetName val="Cap-FA"/>
      <sheetName val="Assumptions and Inputs"/>
      <sheetName val="Summary"/>
      <sheetName val="Risk Data"/>
      <sheetName val="Bal Sht 9-30-01"/>
      <sheetName val="Do not use"/>
      <sheetName val="LOH0197"/>
      <sheetName val="CAPITAL"/>
      <sheetName val="CAPMIP"/>
      <sheetName val="Input1"/>
      <sheetName val="Input2"/>
      <sheetName val="EPG"/>
      <sheetName val="Music"/>
      <sheetName val="Shopping"/>
      <sheetName val="Weather"/>
      <sheetName val="Banking"/>
      <sheetName val="Cost to Customer"/>
      <sheetName val="2001"/>
      <sheetName val="Q3"/>
      <sheetName val="Q4"/>
      <sheetName val="Projections 2"/>
      <sheetName val="Inputs"/>
      <sheetName val="key_inputs"/>
      <sheetName val="Proj. Financials"/>
      <sheetName val="KeyMultInputs"/>
      <sheetName val="Attrition"/>
      <sheetName val="Iowa Curves"/>
      <sheetName val="Historical"/>
      <sheetName val="Mult-3yr"/>
      <sheetName val="WP_Hist ABC"/>
      <sheetName val="Exb II.1_Summary Taira"/>
      <sheetName val="Detail Schedules"/>
      <sheetName val="Forecast"/>
      <sheetName val="Jobs"/>
      <sheetName val="dom-salaries"/>
      <sheetName val="Trends &amp; Rates"/>
      <sheetName val="Deferred Maint - old"/>
      <sheetName val="Deferred Add"/>
      <sheetName val="Existing"/>
      <sheetName val="INPUT"/>
      <sheetName val="DCF"/>
      <sheetName val="Historical IS"/>
      <sheetName val="LCOE"/>
      <sheetName val="Scratch and Validation Rules"/>
      <sheetName val="MA SREC Prices"/>
      <sheetName val="Drop Down"/>
      <sheetName val="Topaz_Wind_LLC"/>
      <sheetName val="Update_Tracker"/>
      <sheetName val="Dash"/>
      <sheetName val="Main_Inputs"/>
      <sheetName val="CTB"/>
      <sheetName val="Post-Flip PAYG"/>
      <sheetName val="Topaz_Wind_LLC_Allocations"/>
      <sheetName val="Tax_Equity_Accounts"/>
      <sheetName val="Metrics"/>
      <sheetName val="XIRR_Flip_Tracker"/>
      <sheetName val="CD_EY Cost Seg_Tax"/>
      <sheetName val="CD_EY Cost Seg_Val"/>
      <sheetName val="HH1_EY Cost Seg_Tax"/>
      <sheetName val="HH1_EY Cost Seg_Val"/>
      <sheetName val="COD_Depr_Inputs"/>
      <sheetName val="2017_Tax_Depr"/>
      <sheetName val="CD_PTC Exp_1.5_87"/>
      <sheetName val="CD_PTC Exp_1.5_77"/>
      <sheetName val="HH1_PTC Exp_1.5_87"/>
      <sheetName val="HH1_PTC Exp_1.5_87a"/>
      <sheetName val="Hours In Period"/>
      <sheetName val="OM_Inputs"/>
      <sheetName val="CD_Pro_Forma"/>
      <sheetName val="HH1_Pro_Forma"/>
      <sheetName val="CD_Rev_Build"/>
      <sheetName val="HH1_Rev_Build"/>
      <sheetName val="Rev_Inputs"/>
      <sheetName val="Hedge &amp; TA"/>
      <sheetName val="Merchant_and_Rec_Pricing"/>
      <sheetName val="NEER_Accounting"/>
      <sheetName val="Defd_Contrib_Sched"/>
      <sheetName val="Schedule 4.3(k)"/>
      <sheetName val="12x24_Inputs"/>
      <sheetName val="SREC Curves"/>
      <sheetName val="Link_Busta_(DO_NOT_DELETE_THIS_"/>
      <sheetName val="IA_-_Summary"/>
      <sheetName val="7_Qtr_(1Q00-3Q01)"/>
      <sheetName val="Assumptions_and_Inputs"/>
      <sheetName val="Risk_Data"/>
      <sheetName val="Bal_Sht_9-30-01"/>
      <sheetName val="Do_not_use"/>
      <sheetName val="Cost_to_Customer"/>
      <sheetName val="Projections_2"/>
      <sheetName val="Historical_IS"/>
      <sheetName val="Detail_Schedules"/>
      <sheetName val="Trends_&amp;_Rates"/>
      <sheetName val="Deferred_Maint_-_old"/>
      <sheetName val="Deferred_Add"/>
      <sheetName val="Proj__Financials"/>
      <sheetName val="Iowa_Curves"/>
      <sheetName val="WP_Hist_ABC"/>
      <sheetName val="Exb_II_1_Summary_Taira"/>
      <sheetName val="Exh B-8"/>
      <sheetName val="Exh B-5"/>
      <sheetName val="Exh B-2"/>
      <sheetName val="Exh B-6"/>
      <sheetName val="Exh B-4"/>
      <sheetName val="Exh B-3"/>
      <sheetName val="Exh B-7"/>
      <sheetName val="Exh B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-Pager"/>
      <sheetName val="1st Bond"/>
      <sheetName val="2nd Bond"/>
      <sheetName val="3rd Bond"/>
      <sheetName val="Quote"/>
    </sheetNames>
    <sheetDataSet>
      <sheetData sheetId="0" refreshError="1">
        <row r="2">
          <cell r="A2" t="str">
            <v>One New Orchard Road, Armonk, NY 10504, United States</v>
          </cell>
          <cell r="G2" t="str">
            <v>N.A.</v>
          </cell>
          <cell r="I2" t="str">
            <v>914-499-1900</v>
          </cell>
        </row>
        <row r="3">
          <cell r="Q3" t="str">
            <v>One New Orchard Road</v>
          </cell>
        </row>
        <row r="5">
          <cell r="A5" t="str">
            <v>Description</v>
          </cell>
        </row>
        <row r="6">
          <cell r="A6" t="str">
            <v>International Business Machines Corporation (IBM) provides customer solutions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8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6" Type="http://schemas.openxmlformats.org/officeDocument/2006/relationships/hyperlink" Target="https://files.cpuc.ca.gov/energy/modeling/2021%20PSP%20NoNewDER%20RESOLVE%20Package.zip" TargetMode="External"/><Relationship Id="rId39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1" Type="http://schemas.openxmlformats.org/officeDocument/2006/relationships/hyperlink" Target="https://files.cpuc.ca.gov/energy/modeling/2021%20PSP%20NoNewDER%20RESOLVE%20Package.zip" TargetMode="External"/><Relationship Id="rId34" Type="http://schemas.openxmlformats.org/officeDocument/2006/relationships/hyperlink" Target="https://files.cpuc.ca.gov/energy/modeling/2021%20PSP%20NoNewDER%20RESOLVE%20Package.zip" TargetMode="External"/><Relationship Id="rId42" Type="http://schemas.openxmlformats.org/officeDocument/2006/relationships/hyperlink" Target="https://files.cpuc.ca.gov/energy/modeling/2021%20PSP%20NoNewDER%20RESOLVE%20Package.zip" TargetMode="External"/><Relationship Id="rId7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6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0" Type="http://schemas.openxmlformats.org/officeDocument/2006/relationships/hyperlink" Target="https://files.cpuc.ca.gov/energy/modeling/2021%20PSP%20NoNewDER%20RESOLVE%20Package.zip" TargetMode="External"/><Relationship Id="rId29" Type="http://schemas.openxmlformats.org/officeDocument/2006/relationships/hyperlink" Target="https://files.cpuc.ca.gov/energy/modeling/2021%20PSP%20NoNewDER%20RESOLVE%20Package.zip" TargetMode="External"/><Relationship Id="rId41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6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1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4" Type="http://schemas.openxmlformats.org/officeDocument/2006/relationships/hyperlink" Target="https://files.cpuc.ca.gov/energy/modeling/2021%20PSP%20NoNewDER%20RESOLVE%20Package.zip" TargetMode="External"/><Relationship Id="rId32" Type="http://schemas.openxmlformats.org/officeDocument/2006/relationships/hyperlink" Target="https://files.cpuc.ca.gov/energy/modeling/2021%20PSP%20NoNewDER%20RESOLVE%20Package.zip" TargetMode="External"/><Relationship Id="rId37" Type="http://schemas.openxmlformats.org/officeDocument/2006/relationships/hyperlink" Target="https://files.cpuc.ca.gov/energy/modeling/2021%20PSP%20NoNewDER%20RESOLVE%20Package.zip" TargetMode="External"/><Relationship Id="rId40" Type="http://schemas.openxmlformats.org/officeDocument/2006/relationships/hyperlink" Target="https://files.cpuc.ca.gov/energy/modeling/2021%20PSP%20NoNewDER%20RESOLVE%20Package.zip" TargetMode="External"/><Relationship Id="rId5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5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3" Type="http://schemas.openxmlformats.org/officeDocument/2006/relationships/hyperlink" Target="https://files.cpuc.ca.gov/energy/modeling/2021%20PSP%20NoNewDER%20RESOLVE%20Package.zip" TargetMode="External"/><Relationship Id="rId28" Type="http://schemas.openxmlformats.org/officeDocument/2006/relationships/hyperlink" Target="https://files.cpuc.ca.gov/energy/modeling/2021%20PSP%20NoNewDER%20RESOLVE%20Package.zip" TargetMode="External"/><Relationship Id="rId36" Type="http://schemas.openxmlformats.org/officeDocument/2006/relationships/hyperlink" Target="https://files.cpuc.ca.gov/energy/modeling/2021%20PSP%20NoNewDER%20RESOLVE%20Package.zip" TargetMode="External"/><Relationship Id="rId10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9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31" Type="http://schemas.openxmlformats.org/officeDocument/2006/relationships/hyperlink" Target="https://files.cpuc.ca.gov/energy/modeling/2021%20PSP%20NoNewDER%20RESOLVE%20Package.zip" TargetMode="External"/><Relationship Id="rId44" Type="http://schemas.openxmlformats.org/officeDocument/2006/relationships/printerSettings" Target="../printerSettings/printerSettings5.bin"/><Relationship Id="rId4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9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4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2" Type="http://schemas.openxmlformats.org/officeDocument/2006/relationships/hyperlink" Target="https://files.cpuc.ca.gov/energy/modeling/2021%20PSP%20NoNewDER%20RESOLVE%20Package.zip" TargetMode="External"/><Relationship Id="rId27" Type="http://schemas.openxmlformats.org/officeDocument/2006/relationships/hyperlink" Target="https://files.cpuc.ca.gov/energy/modeling/2021%20PSP%20NoNewDER%20RESOLVE%20Package.zip" TargetMode="External"/><Relationship Id="rId30" Type="http://schemas.openxmlformats.org/officeDocument/2006/relationships/hyperlink" Target="https://files.cpuc.ca.gov/energy/modeling/2021%20PSP%20NoNewDER%20RESOLVE%20Package.zip" TargetMode="External"/><Relationship Id="rId35" Type="http://schemas.openxmlformats.org/officeDocument/2006/relationships/hyperlink" Target="https://files.cpuc.ca.gov/energy/modeling/2021%20PSP%20NoNewDER%20RESOLVE%20Package.zip" TargetMode="External"/><Relationship Id="rId43" Type="http://schemas.openxmlformats.org/officeDocument/2006/relationships/hyperlink" Target="https://files.cpuc.ca.gov/energy/modeling/2021%20PSP%20NoNewDER%20RESOLVE%20Package.zip" TargetMode="External"/><Relationship Id="rId8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3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2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17" Type="http://schemas.openxmlformats.org/officeDocument/2006/relationships/hyperlink" Target="https://www.cpuc.ca.gov/industries-and-topics/electrical-energy/electric-power-procurement/long-term-procurement-planning/2019-20-irp-events-and-materials" TargetMode="External"/><Relationship Id="rId25" Type="http://schemas.openxmlformats.org/officeDocument/2006/relationships/hyperlink" Target="https://files.cpuc.ca.gov/energy/modeling/2021%20PSP%20NoNewDER%20RESOLVE%20Package.zip" TargetMode="External"/><Relationship Id="rId33" Type="http://schemas.openxmlformats.org/officeDocument/2006/relationships/hyperlink" Target="https://files.cpuc.ca.gov/energy/modeling/2021%20PSP%20NoNewDER%20RESOLVE%20Package.zip" TargetMode="External"/><Relationship Id="rId38" Type="http://schemas.openxmlformats.org/officeDocument/2006/relationships/hyperlink" Target="https://files.cpuc.ca.gov/energy/modeling/2021%20PSP%20NoNewDER%20RESOLVE%20Package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0CA3-5A5D-4D29-B54D-AE0A5FE0267E}">
  <sheetPr>
    <tabColor theme="6"/>
  </sheetPr>
  <dimension ref="A1:AN37"/>
  <sheetViews>
    <sheetView tabSelected="1" workbookViewId="0">
      <selection activeCell="E25" sqref="E25"/>
    </sheetView>
  </sheetViews>
  <sheetFormatPr defaultColWidth="9" defaultRowHeight="13.8" x14ac:dyDescent="0.3"/>
  <cols>
    <col min="1" max="1" width="9" style="37"/>
    <col min="2" max="2" width="19.33203125" style="37" customWidth="1"/>
    <col min="3" max="3" width="16.44140625" style="37" customWidth="1"/>
    <col min="4" max="10" width="9" style="37"/>
    <col min="11" max="11" width="25.6640625" style="37" bestFit="1" customWidth="1"/>
    <col min="12" max="40" width="9" style="32"/>
    <col min="41" max="16384" width="9" style="37"/>
  </cols>
  <sheetData>
    <row r="1" spans="1:1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5.8" x14ac:dyDescent="0.5">
      <c r="A2" s="32"/>
      <c r="B2" s="33" t="s">
        <v>468</v>
      </c>
      <c r="C2" s="34"/>
      <c r="D2" s="32"/>
      <c r="E2" s="32"/>
      <c r="F2" s="32"/>
      <c r="G2" s="32"/>
      <c r="H2" s="32"/>
      <c r="I2" s="32"/>
      <c r="J2" s="32"/>
      <c r="K2" s="32"/>
    </row>
    <row r="3" spans="1:11" ht="15.6" x14ac:dyDescent="0.3">
      <c r="A3" s="32"/>
      <c r="B3" s="35" t="s">
        <v>490</v>
      </c>
      <c r="C3" s="34"/>
      <c r="D3" s="32"/>
      <c r="E3" s="32"/>
      <c r="F3" s="32"/>
      <c r="G3" s="32"/>
      <c r="H3" s="32"/>
      <c r="I3" s="32"/>
      <c r="J3" s="32"/>
      <c r="K3" s="32"/>
    </row>
    <row r="4" spans="1:11" x14ac:dyDescent="0.3">
      <c r="A4" s="32"/>
      <c r="B4" s="36" t="s">
        <v>0</v>
      </c>
      <c r="C4" s="34"/>
      <c r="D4" s="32"/>
      <c r="E4" s="32"/>
      <c r="F4" s="32"/>
      <c r="G4" s="32"/>
      <c r="H4" s="32"/>
      <c r="I4" s="32"/>
      <c r="J4" s="32"/>
      <c r="K4" s="32"/>
    </row>
    <row r="5" spans="1:11" x14ac:dyDescent="0.3">
      <c r="A5" s="32"/>
      <c r="B5" s="34"/>
      <c r="C5" s="34"/>
      <c r="D5" s="32"/>
      <c r="E5" s="32"/>
      <c r="F5" s="32"/>
      <c r="G5" s="32"/>
      <c r="H5" s="32"/>
      <c r="I5" s="32"/>
      <c r="J5" s="32"/>
      <c r="K5" s="32"/>
    </row>
    <row r="6" spans="1:11" x14ac:dyDescent="0.3">
      <c r="A6" s="32"/>
      <c r="B6" s="34"/>
      <c r="C6" s="34"/>
      <c r="D6" s="32"/>
      <c r="E6" s="32"/>
      <c r="F6" s="32"/>
      <c r="G6" s="32"/>
      <c r="H6" s="32"/>
      <c r="I6" s="32"/>
      <c r="J6" s="32"/>
      <c r="K6" s="32"/>
    </row>
    <row r="7" spans="1:11" x14ac:dyDescent="0.3">
      <c r="A7" s="32"/>
      <c r="B7" s="34"/>
      <c r="C7" s="34"/>
      <c r="D7" s="32"/>
      <c r="E7" s="32"/>
      <c r="F7" s="32"/>
      <c r="G7" s="32"/>
      <c r="H7" s="32"/>
      <c r="I7" s="32"/>
      <c r="J7" s="32"/>
      <c r="K7" s="32"/>
    </row>
    <row r="8" spans="1:11" x14ac:dyDescent="0.3">
      <c r="A8" s="32"/>
      <c r="B8" s="34"/>
      <c r="C8" s="34"/>
      <c r="D8" s="32"/>
      <c r="E8" s="32"/>
      <c r="F8" s="32"/>
      <c r="G8" s="32"/>
      <c r="H8" s="32"/>
      <c r="I8" s="32"/>
      <c r="J8" s="32"/>
      <c r="K8" s="32"/>
    </row>
    <row r="9" spans="1:11" x14ac:dyDescent="0.3">
      <c r="A9" s="32"/>
      <c r="B9" s="660" t="s">
        <v>1</v>
      </c>
      <c r="C9" s="660"/>
      <c r="D9" s="32"/>
      <c r="E9" s="32"/>
      <c r="F9" s="32"/>
      <c r="G9" s="32"/>
      <c r="H9" s="32"/>
      <c r="I9" s="32"/>
      <c r="J9" s="32"/>
      <c r="K9" s="32"/>
    </row>
    <row r="10" spans="1:11" x14ac:dyDescent="0.3">
      <c r="A10" s="32"/>
      <c r="B10" s="660" t="s">
        <v>2</v>
      </c>
      <c r="C10" s="660"/>
      <c r="D10" s="32"/>
      <c r="E10" s="32"/>
      <c r="F10" s="32"/>
      <c r="G10" s="32"/>
      <c r="H10" s="32"/>
      <c r="I10" s="32"/>
      <c r="J10" s="32"/>
      <c r="K10" s="32"/>
    </row>
    <row r="11" spans="1:11" x14ac:dyDescent="0.3">
      <c r="A11" s="32"/>
      <c r="B11" s="660" t="s">
        <v>3</v>
      </c>
      <c r="C11" s="660"/>
      <c r="D11" s="32"/>
      <c r="E11" s="32"/>
      <c r="F11" s="32"/>
      <c r="G11" s="32"/>
      <c r="H11" s="32"/>
      <c r="I11" s="32"/>
      <c r="J11" s="32"/>
      <c r="K11" s="32"/>
    </row>
    <row r="12" spans="1:11" x14ac:dyDescent="0.3">
      <c r="A12" s="32"/>
      <c r="B12" s="660" t="s">
        <v>4</v>
      </c>
      <c r="C12" s="660"/>
      <c r="D12" s="32"/>
      <c r="E12" s="32"/>
      <c r="F12" s="32"/>
      <c r="G12" s="32"/>
      <c r="H12" s="32"/>
      <c r="I12" s="32"/>
      <c r="J12" s="32"/>
      <c r="K12" s="32"/>
    </row>
    <row r="13" spans="1:11" x14ac:dyDescent="0.3">
      <c r="A13" s="32"/>
      <c r="B13" s="661">
        <v>44785</v>
      </c>
      <c r="C13" s="661"/>
      <c r="D13" s="32"/>
      <c r="E13" s="32"/>
      <c r="F13" s="32"/>
      <c r="G13" s="32"/>
      <c r="H13" s="32"/>
      <c r="I13" s="32"/>
      <c r="J13" s="32"/>
      <c r="K13" s="32"/>
    </row>
    <row r="14" spans="1:1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4.4" x14ac:dyDescent="0.3">
      <c r="A26" s="32"/>
      <c r="B26" s="124" t="s">
        <v>5</v>
      </c>
      <c r="C26" s="124"/>
      <c r="D26" s="32"/>
      <c r="E26" s="32"/>
      <c r="F26" s="32"/>
      <c r="G26" s="32"/>
      <c r="H26" s="32"/>
      <c r="I26" s="32"/>
      <c r="J26" s="32"/>
      <c r="K26" s="32"/>
    </row>
    <row r="27" spans="1:11" ht="14.4" x14ac:dyDescent="0.3">
      <c r="A27" s="32"/>
      <c r="B27" s="125" t="s">
        <v>6</v>
      </c>
      <c r="C27" s="126"/>
      <c r="D27" s="32"/>
      <c r="E27" s="32"/>
      <c r="F27" s="32"/>
      <c r="G27" s="32"/>
      <c r="H27" s="32"/>
      <c r="I27" s="32"/>
      <c r="J27" s="32"/>
      <c r="K27" s="32"/>
    </row>
    <row r="28" spans="1:11" ht="14.4" x14ac:dyDescent="0.3">
      <c r="A28" s="32"/>
      <c r="B28" s="127" t="s">
        <v>7</v>
      </c>
      <c r="C28" s="128"/>
      <c r="D28" s="32"/>
      <c r="E28" s="32"/>
      <c r="F28" s="32"/>
      <c r="G28" s="32"/>
      <c r="H28" s="32"/>
      <c r="I28" s="32"/>
      <c r="J28" s="32"/>
      <c r="K28" s="32"/>
    </row>
    <row r="29" spans="1:11" ht="14.4" x14ac:dyDescent="0.3">
      <c r="A29" s="32"/>
      <c r="B29" s="129" t="s">
        <v>8</v>
      </c>
      <c r="C29" s="130"/>
      <c r="D29" s="32"/>
      <c r="E29" s="32"/>
      <c r="F29" s="32"/>
      <c r="G29" s="32"/>
      <c r="H29" s="32"/>
      <c r="I29" s="32"/>
      <c r="J29" s="32"/>
      <c r="K29" s="32"/>
    </row>
    <row r="30" spans="1:11" ht="14.4" x14ac:dyDescent="0.3">
      <c r="A30" s="32"/>
      <c r="B30" s="131" t="s">
        <v>9</v>
      </c>
      <c r="C30" s="132"/>
      <c r="D30" s="32"/>
      <c r="E30" s="32"/>
      <c r="F30" s="32"/>
      <c r="G30" s="32"/>
      <c r="H30" s="32"/>
      <c r="I30" s="32"/>
      <c r="J30" s="32"/>
      <c r="K30" s="32"/>
    </row>
    <row r="31" spans="1:11" ht="14.4" x14ac:dyDescent="0.3">
      <c r="A31" s="32"/>
      <c r="B31" s="133" t="s">
        <v>10</v>
      </c>
      <c r="C31" s="134"/>
      <c r="D31" s="32"/>
      <c r="E31" s="32"/>
      <c r="F31" s="32"/>
      <c r="G31" s="32"/>
      <c r="H31" s="32"/>
      <c r="I31" s="32"/>
      <c r="J31" s="32"/>
      <c r="K31" s="32"/>
    </row>
    <row r="32" spans="1:11" ht="14.4" x14ac:dyDescent="0.3">
      <c r="A32" s="32"/>
      <c r="B32" s="135" t="s">
        <v>11</v>
      </c>
      <c r="C32" s="136"/>
      <c r="D32" s="32"/>
      <c r="E32" s="32"/>
      <c r="F32" s="32"/>
      <c r="G32" s="32"/>
      <c r="H32" s="32"/>
      <c r="I32" s="32"/>
      <c r="J32" s="32"/>
      <c r="K32" s="32"/>
    </row>
    <row r="33" spans="1:11" ht="14.4" x14ac:dyDescent="0.3">
      <c r="A33" s="32"/>
      <c r="B33" s="137" t="s">
        <v>12</v>
      </c>
      <c r="C33" s="138"/>
      <c r="D33" s="32"/>
      <c r="E33" s="32"/>
      <c r="F33" s="32"/>
      <c r="G33" s="32"/>
      <c r="H33" s="32"/>
      <c r="I33" s="32"/>
      <c r="J33" s="32"/>
      <c r="K33" s="32"/>
    </row>
    <row r="34" spans="1:1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</sheetData>
  <mergeCells count="5"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1143-E460-42E0-A8D0-A60B8F63EAC6}">
  <sheetPr>
    <tabColor theme="3"/>
  </sheetPr>
  <dimension ref="B2:CZ237"/>
  <sheetViews>
    <sheetView workbookViewId="0"/>
  </sheetViews>
  <sheetFormatPr defaultColWidth="8.6640625" defaultRowHeight="14.4" x14ac:dyDescent="0.3"/>
  <cols>
    <col min="1" max="1" width="10.33203125" style="19" bestFit="1" customWidth="1"/>
    <col min="2" max="2" width="64.109375" style="19" customWidth="1"/>
    <col min="3" max="3" width="10.44140625" style="19" customWidth="1"/>
    <col min="4" max="6" width="13" style="19" bestFit="1" customWidth="1"/>
    <col min="7" max="7" width="11.44140625" style="19" customWidth="1"/>
    <col min="8" max="11" width="10.44140625" style="19" customWidth="1"/>
    <col min="12" max="12" width="11.44140625" style="19" bestFit="1" customWidth="1"/>
    <col min="13" max="16" width="10.44140625" style="19" customWidth="1"/>
    <col min="17" max="17" width="11.44140625" style="19" customWidth="1"/>
    <col min="18" max="21" width="10.44140625" style="19" customWidth="1"/>
    <col min="22" max="22" width="11.6640625" style="19" customWidth="1"/>
    <col min="23" max="31" width="11.44140625" style="19" customWidth="1"/>
    <col min="32" max="32" width="11.44140625" style="19" bestFit="1" customWidth="1"/>
    <col min="33" max="54" width="11.44140625" style="19" customWidth="1"/>
    <col min="55" max="16384" width="8.6640625" style="19"/>
  </cols>
  <sheetData>
    <row r="2" spans="2:104" x14ac:dyDescent="0.3">
      <c r="C2" s="155">
        <v>2021</v>
      </c>
      <c r="D2" s="156">
        <v>2022</v>
      </c>
      <c r="E2" s="156">
        <v>2023</v>
      </c>
      <c r="F2" s="156">
        <v>2024</v>
      </c>
      <c r="G2" s="156">
        <v>2025</v>
      </c>
      <c r="H2" s="156">
        <v>2026</v>
      </c>
      <c r="I2" s="156">
        <v>2027</v>
      </c>
      <c r="J2" s="156">
        <v>2028</v>
      </c>
      <c r="K2" s="156">
        <v>2029</v>
      </c>
      <c r="L2" s="156">
        <v>2030</v>
      </c>
      <c r="M2" s="156">
        <v>2031</v>
      </c>
      <c r="N2" s="156">
        <v>2032</v>
      </c>
      <c r="O2" s="156">
        <v>2033</v>
      </c>
      <c r="P2" s="156">
        <v>2034</v>
      </c>
      <c r="Q2" s="156">
        <v>2035</v>
      </c>
      <c r="R2" s="156">
        <v>2036</v>
      </c>
      <c r="S2" s="156">
        <v>2037</v>
      </c>
      <c r="T2" s="156">
        <v>2038</v>
      </c>
      <c r="U2" s="156">
        <v>2039</v>
      </c>
      <c r="V2" s="156">
        <v>2040</v>
      </c>
      <c r="W2" s="156">
        <v>2041</v>
      </c>
      <c r="X2" s="156">
        <v>2042</v>
      </c>
      <c r="Y2" s="156">
        <v>2043</v>
      </c>
      <c r="Z2" s="156">
        <v>2044</v>
      </c>
      <c r="AA2" s="156">
        <v>2045</v>
      </c>
      <c r="AB2" s="156">
        <v>2046</v>
      </c>
      <c r="AC2" s="156">
        <v>2047</v>
      </c>
      <c r="AD2" s="156">
        <v>2048</v>
      </c>
      <c r="AE2" s="156">
        <v>2049</v>
      </c>
      <c r="AF2" s="157">
        <v>2050</v>
      </c>
      <c r="AG2" s="156">
        <v>2051</v>
      </c>
      <c r="AH2" s="157">
        <v>2052</v>
      </c>
    </row>
    <row r="3" spans="2:104" x14ac:dyDescent="0.3">
      <c r="B3" s="139" t="s">
        <v>383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148"/>
      <c r="AH3" s="148"/>
    </row>
    <row r="4" spans="2:104" x14ac:dyDescent="0.3">
      <c r="B4" s="73" t="s">
        <v>364</v>
      </c>
      <c r="C4" s="158">
        <f>'IRP Inputs'!E41</f>
        <v>27.590000000000003</v>
      </c>
      <c r="D4" s="158">
        <f>'IRP Inputs'!F41</f>
        <v>26.35</v>
      </c>
      <c r="E4" s="158">
        <f>'IRP Inputs'!G41</f>
        <v>24.53</v>
      </c>
      <c r="F4" s="158">
        <f>'IRP Inputs'!H41</f>
        <v>23.560000000000002</v>
      </c>
      <c r="G4" s="158">
        <f>'IRP Inputs'!I41</f>
        <v>22.979999999999997</v>
      </c>
      <c r="H4" s="158">
        <f>'IRP Inputs'!J41</f>
        <v>22.61</v>
      </c>
      <c r="I4" s="158">
        <f>'IRP Inputs'!K41</f>
        <v>22.23</v>
      </c>
      <c r="J4" s="158">
        <f>'IRP Inputs'!L41</f>
        <v>21.84</v>
      </c>
      <c r="K4" s="158">
        <f>'IRP Inputs'!M41</f>
        <v>21.43</v>
      </c>
      <c r="L4" s="158">
        <f>'IRP Inputs'!N41</f>
        <v>21.099999999999998</v>
      </c>
      <c r="M4" s="158">
        <f>'IRP Inputs'!O41</f>
        <v>21.009999999999998</v>
      </c>
      <c r="N4" s="158">
        <f>'IRP Inputs'!P41</f>
        <v>20.9</v>
      </c>
      <c r="O4" s="158">
        <f>'IRP Inputs'!Q41</f>
        <v>20.77</v>
      </c>
      <c r="P4" s="158">
        <f>'IRP Inputs'!R41</f>
        <v>20.71</v>
      </c>
      <c r="Q4" s="158">
        <f>'IRP Inputs'!S41</f>
        <v>20.61</v>
      </c>
      <c r="R4" s="158">
        <f>'IRP Inputs'!T41</f>
        <v>20.58</v>
      </c>
      <c r="S4" s="158">
        <f>'IRP Inputs'!U41</f>
        <v>20.54</v>
      </c>
      <c r="T4" s="158">
        <f>'IRP Inputs'!V41</f>
        <v>20.51</v>
      </c>
      <c r="U4" s="158">
        <f>'IRP Inputs'!W41</f>
        <v>20.509999999999998</v>
      </c>
      <c r="V4" s="158">
        <f>'IRP Inputs'!X41</f>
        <v>20.420000000000002</v>
      </c>
      <c r="W4" s="158">
        <f>'IRP Inputs'!Y41</f>
        <v>20.380000000000003</v>
      </c>
      <c r="X4" s="158">
        <f>'IRP Inputs'!Z41</f>
        <v>20.36</v>
      </c>
      <c r="Y4" s="158">
        <f>'IRP Inputs'!AA41</f>
        <v>20.29</v>
      </c>
      <c r="Z4" s="158">
        <f>'IRP Inputs'!AB41</f>
        <v>20.260000000000002</v>
      </c>
      <c r="AA4" s="158">
        <f>'IRP Inputs'!AC41</f>
        <v>20.200000000000003</v>
      </c>
      <c r="AB4" s="158">
        <f>'IRP Inputs'!AD41</f>
        <v>20.130000000000003</v>
      </c>
      <c r="AC4" s="158">
        <f>'IRP Inputs'!AE41</f>
        <v>20.09</v>
      </c>
      <c r="AD4" s="158">
        <f>'IRP Inputs'!AF41</f>
        <v>20</v>
      </c>
      <c r="AE4" s="158">
        <f>'IRP Inputs'!AG41</f>
        <v>19.93</v>
      </c>
      <c r="AF4" s="158">
        <f>'IRP Inputs'!AH41</f>
        <v>19.86</v>
      </c>
      <c r="AG4" s="158">
        <f>'IRP Inputs'!AI41</f>
        <v>19.86</v>
      </c>
      <c r="AH4" s="159">
        <f>'IRP Inputs'!AJ41</f>
        <v>19.86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2:104" x14ac:dyDescent="0.3">
      <c r="B5" s="600" t="str">
        <f>"Energy x " &amp; 'Battery Costs'!G14 &amp;" ($2018/nameplate kW-yr)"</f>
        <v>Energy x 4 ($2018/nameplate kW-yr)</v>
      </c>
      <c r="C5" s="30">
        <f>'IRP Inputs'!E42</f>
        <v>102.84</v>
      </c>
      <c r="D5" s="30">
        <f>'IRP Inputs'!F42</f>
        <v>94.04</v>
      </c>
      <c r="E5" s="30">
        <f>'IRP Inputs'!G42</f>
        <v>83.24</v>
      </c>
      <c r="F5" s="30">
        <f>'IRP Inputs'!H42</f>
        <v>76.2</v>
      </c>
      <c r="G5" s="30">
        <f>'IRP Inputs'!I42</f>
        <v>70.600000000000009</v>
      </c>
      <c r="H5" s="30">
        <f>'IRP Inputs'!J42</f>
        <v>67</v>
      </c>
      <c r="I5" s="30">
        <f>'IRP Inputs'!K42</f>
        <v>63.400000000000006</v>
      </c>
      <c r="J5" s="30">
        <f>'IRP Inputs'!L42</f>
        <v>59.760000000000005</v>
      </c>
      <c r="K5" s="30">
        <f>'IRP Inputs'!M42</f>
        <v>56.120000000000005</v>
      </c>
      <c r="L5" s="30">
        <f>'IRP Inputs'!N42</f>
        <v>52.72</v>
      </c>
      <c r="M5" s="30">
        <f>'IRP Inputs'!O42</f>
        <v>51.919999999999995</v>
      </c>
      <c r="N5" s="30">
        <f>'IRP Inputs'!P42</f>
        <v>51.2</v>
      </c>
      <c r="O5" s="30">
        <f>'IRP Inputs'!Q42</f>
        <v>50.239999999999995</v>
      </c>
      <c r="P5" s="30">
        <f>'IRP Inputs'!R42</f>
        <v>49.72</v>
      </c>
      <c r="Q5" s="30">
        <f>'IRP Inputs'!S42</f>
        <v>48.88</v>
      </c>
      <c r="R5" s="30">
        <f>'IRP Inputs'!T42</f>
        <v>48.239999999999995</v>
      </c>
      <c r="S5" s="30">
        <f>'IRP Inputs'!U42</f>
        <v>47.72</v>
      </c>
      <c r="T5" s="30">
        <f>'IRP Inputs'!V42</f>
        <v>47.120000000000005</v>
      </c>
      <c r="U5" s="30">
        <f>'IRP Inputs'!W42</f>
        <v>46.760000000000005</v>
      </c>
      <c r="V5" s="30">
        <f>'IRP Inputs'!X42</f>
        <v>46</v>
      </c>
      <c r="W5" s="30">
        <f>'IRP Inputs'!Y42</f>
        <v>45.28</v>
      </c>
      <c r="X5" s="30">
        <f>'IRP Inputs'!Z42</f>
        <v>44.879999999999995</v>
      </c>
      <c r="Y5" s="30">
        <f>'IRP Inputs'!AA42</f>
        <v>44.08</v>
      </c>
      <c r="Z5" s="30">
        <f>'IRP Inputs'!AB42</f>
        <v>43.68</v>
      </c>
      <c r="AA5" s="30">
        <f>'IRP Inputs'!AC42</f>
        <v>42.919999999999995</v>
      </c>
      <c r="AB5" s="30">
        <f>'IRP Inputs'!AD42</f>
        <v>42.160000000000004</v>
      </c>
      <c r="AC5" s="30">
        <f>'IRP Inputs'!AE42</f>
        <v>41.68</v>
      </c>
      <c r="AD5" s="30">
        <f>'IRP Inputs'!AF42</f>
        <v>40.879999999999995</v>
      </c>
      <c r="AE5" s="30">
        <f>'IRP Inputs'!AG42</f>
        <v>40.32</v>
      </c>
      <c r="AF5" s="30">
        <f>'IRP Inputs'!AH42</f>
        <v>39.56</v>
      </c>
      <c r="AG5" s="30">
        <f>'IRP Inputs'!AI42</f>
        <v>39.56</v>
      </c>
      <c r="AH5" s="150">
        <f>'IRP Inputs'!AJ42</f>
        <v>39.56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2:104" x14ac:dyDescent="0.3">
      <c r="B6" s="74" t="s">
        <v>363</v>
      </c>
      <c r="C6" s="151">
        <f>'IRP Inputs'!E43</f>
        <v>130.43</v>
      </c>
      <c r="D6" s="151">
        <f>'IRP Inputs'!F43</f>
        <v>120.39000000000001</v>
      </c>
      <c r="E6" s="151">
        <f>'IRP Inputs'!G43</f>
        <v>107.77</v>
      </c>
      <c r="F6" s="151">
        <f>'IRP Inputs'!H43</f>
        <v>99.76</v>
      </c>
      <c r="G6" s="151">
        <f>'IRP Inputs'!I43</f>
        <v>93.580000000000013</v>
      </c>
      <c r="H6" s="151">
        <f>'IRP Inputs'!J43</f>
        <v>89.61</v>
      </c>
      <c r="I6" s="151">
        <f>'IRP Inputs'!K43</f>
        <v>85.63000000000001</v>
      </c>
      <c r="J6" s="151">
        <f>'IRP Inputs'!L43</f>
        <v>81.600000000000009</v>
      </c>
      <c r="K6" s="151">
        <f>'IRP Inputs'!M43</f>
        <v>77.550000000000011</v>
      </c>
      <c r="L6" s="151">
        <f>'IRP Inputs'!N43</f>
        <v>73.819999999999993</v>
      </c>
      <c r="M6" s="151">
        <f>'IRP Inputs'!O43</f>
        <v>72.929999999999993</v>
      </c>
      <c r="N6" s="151">
        <f>'IRP Inputs'!P43</f>
        <v>72.099999999999994</v>
      </c>
      <c r="O6" s="151">
        <f>'IRP Inputs'!Q43</f>
        <v>71.009999999999991</v>
      </c>
      <c r="P6" s="151">
        <f>'IRP Inputs'!R43</f>
        <v>70.430000000000007</v>
      </c>
      <c r="Q6" s="151">
        <f>'IRP Inputs'!S43</f>
        <v>69.490000000000009</v>
      </c>
      <c r="R6" s="151">
        <f>'IRP Inputs'!T43</f>
        <v>68.819999999999993</v>
      </c>
      <c r="S6" s="151">
        <f>'IRP Inputs'!U43</f>
        <v>68.259999999999991</v>
      </c>
      <c r="T6" s="151">
        <f>'IRP Inputs'!V43</f>
        <v>67.63000000000001</v>
      </c>
      <c r="U6" s="151">
        <f>'IRP Inputs'!W43</f>
        <v>67.27000000000001</v>
      </c>
      <c r="V6" s="151">
        <f>'IRP Inputs'!X43</f>
        <v>66.42</v>
      </c>
      <c r="W6" s="151">
        <f>'IRP Inputs'!Y43</f>
        <v>65.66</v>
      </c>
      <c r="X6" s="151">
        <f>'IRP Inputs'!Z43</f>
        <v>65.239999999999995</v>
      </c>
      <c r="Y6" s="151">
        <f>'IRP Inputs'!AA43</f>
        <v>64.37</v>
      </c>
      <c r="Z6" s="151">
        <f>'IRP Inputs'!AB43</f>
        <v>63.94</v>
      </c>
      <c r="AA6" s="151">
        <f>'IRP Inputs'!AC43</f>
        <v>63.12</v>
      </c>
      <c r="AB6" s="151">
        <f>'IRP Inputs'!AD43</f>
        <v>62.290000000000006</v>
      </c>
      <c r="AC6" s="151">
        <f>'IRP Inputs'!AE43</f>
        <v>61.769999999999996</v>
      </c>
      <c r="AD6" s="151">
        <f>'IRP Inputs'!AF43</f>
        <v>60.879999999999995</v>
      </c>
      <c r="AE6" s="151">
        <f>'IRP Inputs'!AG43</f>
        <v>60.25</v>
      </c>
      <c r="AF6" s="151">
        <f>'IRP Inputs'!AH43</f>
        <v>59.42</v>
      </c>
      <c r="AG6" s="151">
        <f>'IRP Inputs'!AI43</f>
        <v>59.42</v>
      </c>
      <c r="AH6" s="151">
        <f>'IRP Inputs'!AJ43</f>
        <v>59.42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2:104" x14ac:dyDescent="0.3">
      <c r="B7" s="74" t="s">
        <v>371</v>
      </c>
      <c r="C7" s="151" cm="1">
        <f t="array" ref="C7">IFERROR(INDEX($C$6:$AF$6,,MATCH(C$2+lifetime,RECC!$C$2:$AF$2,0)), B$7)</f>
        <v>65.66</v>
      </c>
      <c r="D7" s="151" cm="1">
        <f t="array" ref="D7">IFERROR(INDEX($C$6:$AF$6,,MATCH(D$2+lifetime,RECC!$C$2:$AF$2,0)), C$7)</f>
        <v>65.239999999999995</v>
      </c>
      <c r="E7" s="151" cm="1">
        <f t="array" ref="E7">IFERROR(INDEX($C$6:$AF$6,,MATCH(E$2+lifetime,RECC!$C$2:$AF$2,0)), D$7)</f>
        <v>64.37</v>
      </c>
      <c r="F7" s="151" cm="1">
        <f t="array" ref="F7">IFERROR(INDEX($C$6:$AF$6,,MATCH(F$2+lifetime,RECC!$C$2:$AF$2,0)), E$7)</f>
        <v>63.94</v>
      </c>
      <c r="G7" s="151" cm="1">
        <f t="array" ref="G7">IFERROR(INDEX($C$6:$AF$6,,MATCH(G$2+lifetime,RECC!$C$2:$AF$2,0)), F$7)</f>
        <v>63.12</v>
      </c>
      <c r="H7" s="151" cm="1">
        <f t="array" ref="H7">IFERROR(INDEX($C$6:$AF$6,,MATCH(H$2+lifetime,RECC!$C$2:$AF$2,0)), G$7)</f>
        <v>62.290000000000006</v>
      </c>
      <c r="I7" s="151" cm="1">
        <f t="array" ref="I7">IFERROR(INDEX($C$6:$AF$6,,MATCH(I$2+lifetime,RECC!$C$2:$AF$2,0)), H$7)</f>
        <v>61.769999999999996</v>
      </c>
      <c r="J7" s="151" cm="1">
        <f t="array" ref="J7">IFERROR(INDEX($C$6:$AF$6,,MATCH(J$2+lifetime,RECC!$C$2:$AF$2,0)), I$7)</f>
        <v>60.879999999999995</v>
      </c>
      <c r="K7" s="151" cm="1">
        <f t="array" ref="K7">IFERROR(INDEX($C$6:$AF$6,,MATCH(K$2+lifetime,RECC!$C$2:$AF$2,0)), J$7)</f>
        <v>60.25</v>
      </c>
      <c r="L7" s="151" cm="1">
        <f t="array" ref="L7">IFERROR(INDEX($C$6:$AF$6,,MATCH(L$2+lifetime,RECC!$C$2:$AF$2,0)), K$7)</f>
        <v>59.42</v>
      </c>
      <c r="M7" s="151" cm="1">
        <f t="array" ref="M7">IFERROR(INDEX($C$6:$AF$6,,MATCH(M$2+lifetime,RECC!$C$2:$AF$2,0)), L$7)</f>
        <v>59.42</v>
      </c>
      <c r="N7" s="151" cm="1">
        <f t="array" ref="N7">IFERROR(INDEX($C$6:$AF$6,,MATCH(N$2+lifetime,RECC!$C$2:$AF$2,0)), M$7)</f>
        <v>59.42</v>
      </c>
      <c r="O7" s="151" cm="1">
        <f t="array" ref="O7">IFERROR(INDEX($C$6:$AF$6,,MATCH(O$2+lifetime,RECC!$C$2:$AF$2,0)), N$7)</f>
        <v>59.42</v>
      </c>
      <c r="P7" s="151" cm="1">
        <f t="array" ref="P7">IFERROR(INDEX($C$6:$AF$6,,MATCH(P$2+lifetime,RECC!$C$2:$AF$2,0)), O$7)</f>
        <v>59.42</v>
      </c>
      <c r="Q7" s="151" cm="1">
        <f t="array" ref="Q7">IFERROR(INDEX($C$6:$AF$6,,MATCH(Q$2+lifetime,RECC!$C$2:$AF$2,0)), P$7)</f>
        <v>59.42</v>
      </c>
      <c r="R7" s="151" cm="1">
        <f t="array" ref="R7">IFERROR(INDEX($C$6:$AF$6,,MATCH(R$2+lifetime,RECC!$C$2:$AF$2,0)), Q$7)</f>
        <v>59.42</v>
      </c>
      <c r="S7" s="151" cm="1">
        <f t="array" ref="S7">IFERROR(INDEX($C$6:$AF$6,,MATCH(S$2+lifetime,RECC!$C$2:$AF$2,0)), R$7)</f>
        <v>59.42</v>
      </c>
      <c r="T7" s="151" cm="1">
        <f t="array" ref="T7">IFERROR(INDEX($C$6:$AF$6,,MATCH(T$2+lifetime,RECC!$C$2:$AF$2,0)), S$7)</f>
        <v>59.42</v>
      </c>
      <c r="U7" s="151" cm="1">
        <f t="array" ref="U7">IFERROR(INDEX($C$6:$AF$6,,MATCH(U$2+lifetime,RECC!$C$2:$AF$2,0)), T$7)</f>
        <v>59.42</v>
      </c>
      <c r="V7" s="151" cm="1">
        <f t="array" ref="V7">IFERROR(INDEX($C$6:$AF$6,,MATCH(V$2+lifetime,RECC!$C$2:$AF$2,0)), U$7)</f>
        <v>59.42</v>
      </c>
      <c r="W7" s="151" cm="1">
        <f t="array" ref="W7">IFERROR(INDEX($C$6:$AF$6,,MATCH(W$2+lifetime,RECC!$C$2:$AF$2,0)), V$7)</f>
        <v>59.42</v>
      </c>
      <c r="X7" s="151" cm="1">
        <f t="array" ref="X7">IFERROR(INDEX($C$6:$AF$6,,MATCH(X$2+lifetime,RECC!$C$2:$AF$2,0)), W$7)</f>
        <v>59.42</v>
      </c>
      <c r="Y7" s="151" cm="1">
        <f t="array" ref="Y7">IFERROR(INDEX($C$6:$AF$6,,MATCH(Y$2+lifetime,RECC!$C$2:$AF$2,0)), X$7)</f>
        <v>59.42</v>
      </c>
      <c r="Z7" s="151" cm="1">
        <f t="array" ref="Z7">IFERROR(INDEX($C$6:$AF$6,,MATCH(Z$2+lifetime,RECC!$C$2:$AF$2,0)), Y$7)</f>
        <v>59.42</v>
      </c>
      <c r="AA7" s="151" cm="1">
        <f t="array" ref="AA7">IFERROR(INDEX($C$6:$AF$6,,MATCH(AA$2+lifetime,RECC!$C$2:$AF$2,0)), Z$7)</f>
        <v>59.42</v>
      </c>
      <c r="AB7" s="151" cm="1">
        <f t="array" ref="AB7">IFERROR(INDEX($C$6:$AF$6,,MATCH(AB$2+lifetime,RECC!$C$2:$AF$2,0)), AA$7)</f>
        <v>59.42</v>
      </c>
      <c r="AC7" s="151" cm="1">
        <f t="array" ref="AC7">IFERROR(INDEX($C$6:$AF$6,,MATCH(AC$2+lifetime,RECC!$C$2:$AF$2,0)), AB$7)</f>
        <v>59.42</v>
      </c>
      <c r="AD7" s="151" cm="1">
        <f t="array" ref="AD7">IFERROR(INDEX($C$6:$AF$6,,MATCH(AD$2+lifetime,RECC!$C$2:$AF$2,0)), AC$7)</f>
        <v>59.42</v>
      </c>
      <c r="AE7" s="151" cm="1">
        <f t="array" ref="AE7">IFERROR(INDEX($C$6:$AF$6,,MATCH(AE$2+lifetime,RECC!$C$2:$AF$2,0)), AD$7)</f>
        <v>59.42</v>
      </c>
      <c r="AF7" s="151" cm="1">
        <f t="array" ref="AF7">IFERROR(INDEX($C$6:$AF$6,,MATCH(AF$2+lifetime,RECC!$C$2:$AF$2,0)), AE$7)</f>
        <v>59.42</v>
      </c>
      <c r="AG7" s="151" cm="1">
        <f t="array" ref="AG7">IFERROR(INDEX($C$6:$AF$6,,MATCH(AG$2+lifetime,RECC!$C$2:$AF$2,0)), AF$7)</f>
        <v>59.42</v>
      </c>
      <c r="AH7" s="152" cm="1">
        <f t="array" ref="AH7">IFERROR(INDEX($C$6:$AF$6,,MATCH(AH$2+lifetime,RECC!$C$2:$AF$2,0)), AG$7)</f>
        <v>59.42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2:104" x14ac:dyDescent="0.3">
      <c r="B8" s="600" t="s">
        <v>16</v>
      </c>
      <c r="C8" s="153">
        <f>'IRP Inputs'!E45</f>
        <v>1</v>
      </c>
      <c r="D8" s="153">
        <f>'IRP Inputs'!F45</f>
        <v>1</v>
      </c>
      <c r="E8" s="153">
        <f>'IRP Inputs'!G45</f>
        <v>0.98505603985056001</v>
      </c>
      <c r="F8" s="153">
        <f>'IRP Inputs'!H45</f>
        <v>0.59652299891343696</v>
      </c>
      <c r="G8" s="153">
        <f>'IRP Inputs'!I45</f>
        <v>0.49562903838844502</v>
      </c>
      <c r="H8" s="153">
        <f>'IRP Inputs'!J45</f>
        <v>0.49562903838844502</v>
      </c>
      <c r="I8" s="153">
        <f>'IRP Inputs'!K45</f>
        <v>0.49562903838844502</v>
      </c>
      <c r="J8" s="153">
        <f>'IRP Inputs'!L45</f>
        <v>0.49562903838844502</v>
      </c>
      <c r="K8" s="153">
        <f>'IRP Inputs'!M45</f>
        <v>0.49562903838844502</v>
      </c>
      <c r="L8" s="153">
        <f>'IRP Inputs'!N45</f>
        <v>0.49562903838844502</v>
      </c>
      <c r="M8" s="153">
        <f>'IRP Inputs'!O45</f>
        <v>0.44789044933848998</v>
      </c>
      <c r="N8" s="153">
        <f>'IRP Inputs'!P45</f>
        <v>0.400151860288535</v>
      </c>
      <c r="O8" s="153">
        <f>'IRP Inputs'!Q45</f>
        <v>0.400151860288535</v>
      </c>
      <c r="P8" s="153">
        <f>'IRP Inputs'!R45</f>
        <v>0.400151860288535</v>
      </c>
      <c r="Q8" s="153">
        <f>'IRP Inputs'!S45</f>
        <v>0.400151860288535</v>
      </c>
      <c r="R8" s="153">
        <f>'IRP Inputs'!T45</f>
        <v>0.3635041520786082</v>
      </c>
      <c r="S8" s="153">
        <f>'IRP Inputs'!U45</f>
        <v>0.3268564438686814</v>
      </c>
      <c r="T8" s="153">
        <f>'IRP Inputs'!V45</f>
        <v>0.2902087356587546</v>
      </c>
      <c r="U8" s="153">
        <f>'IRP Inputs'!W45</f>
        <v>0.2535610274488278</v>
      </c>
      <c r="V8" s="153">
        <f>'IRP Inputs'!X45</f>
        <v>0.216913319238901</v>
      </c>
      <c r="W8" s="153">
        <f>'IRP Inputs'!Y45</f>
        <v>0.216913319238901</v>
      </c>
      <c r="X8" s="153">
        <f>'IRP Inputs'!Z45</f>
        <v>0.216913319238901</v>
      </c>
      <c r="Y8" s="153">
        <f>'IRP Inputs'!AA45</f>
        <v>0.216913319238901</v>
      </c>
      <c r="Z8" s="153">
        <f>'IRP Inputs'!AB45</f>
        <v>0.216913319238901</v>
      </c>
      <c r="AA8" s="153">
        <f>'IRP Inputs'!AC45</f>
        <v>0.216913319238901</v>
      </c>
      <c r="AB8" s="153">
        <f>'IRP Inputs'!AD45</f>
        <v>0.216913319238901</v>
      </c>
      <c r="AC8" s="153">
        <f>'IRP Inputs'!AE45</f>
        <v>0.216913319238901</v>
      </c>
      <c r="AD8" s="153">
        <f>'IRP Inputs'!AF45</f>
        <v>0.216913319238901</v>
      </c>
      <c r="AE8" s="153">
        <f>'IRP Inputs'!AG45</f>
        <v>0.216913319238901</v>
      </c>
      <c r="AF8" s="153">
        <f>'IRP Inputs'!AH45</f>
        <v>0.216913319238901</v>
      </c>
      <c r="AG8" s="153">
        <f>'IRP Inputs'!AI45</f>
        <v>0.216913319238901</v>
      </c>
      <c r="AH8" s="154">
        <f>'IRP Inputs'!AJ45</f>
        <v>0.216913319238901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2:104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2:104" x14ac:dyDescent="0.3">
      <c r="B10" s="139" t="s">
        <v>18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3"/>
      <c r="AG10" s="143"/>
      <c r="AH10" s="14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2:104" x14ac:dyDescent="0.3">
      <c r="B11" s="146" t="s">
        <v>374</v>
      </c>
      <c r="C11" s="616">
        <v>6002.0325999999995</v>
      </c>
      <c r="D11" s="10">
        <v>46386.706700000002</v>
      </c>
      <c r="E11" s="10">
        <v>51745.3122</v>
      </c>
      <c r="F11" s="10">
        <v>25203.629499999999</v>
      </c>
      <c r="G11" s="10">
        <v>27165.410199999998</v>
      </c>
      <c r="H11" s="10">
        <v>25007.9388</v>
      </c>
      <c r="I11" s="10">
        <v>25043.709900000002</v>
      </c>
      <c r="J11" s="10">
        <v>18917.2929</v>
      </c>
      <c r="K11" s="10">
        <v>16972.840199999999</v>
      </c>
      <c r="L11" s="10">
        <v>43346.8819</v>
      </c>
      <c r="M11" s="10">
        <v>40974.36</v>
      </c>
      <c r="N11" s="10">
        <v>46446.769899999999</v>
      </c>
      <c r="O11" s="10">
        <v>50388.651899999997</v>
      </c>
      <c r="P11" s="10">
        <v>56002.169300000001</v>
      </c>
      <c r="Q11" s="10">
        <v>64107.0533</v>
      </c>
      <c r="R11" s="10">
        <v>68913.915900000007</v>
      </c>
      <c r="S11" s="10">
        <v>74605.614100000006</v>
      </c>
      <c r="T11" s="10">
        <v>81205.297000000006</v>
      </c>
      <c r="U11" s="10">
        <v>88955.114600000001</v>
      </c>
      <c r="V11" s="10">
        <v>98497.613800000006</v>
      </c>
      <c r="W11" s="10">
        <v>99748.633600000001</v>
      </c>
      <c r="X11" s="10">
        <v>102160.2548</v>
      </c>
      <c r="Y11" s="10">
        <v>105529.60920000001</v>
      </c>
      <c r="Z11" s="10">
        <v>109312.27800000001</v>
      </c>
      <c r="AA11" s="10">
        <v>115544.64230000001</v>
      </c>
      <c r="AB11" s="10">
        <v>120531.2167</v>
      </c>
      <c r="AC11" s="10">
        <v>125762.276</v>
      </c>
      <c r="AD11" s="10">
        <v>131352.38370000001</v>
      </c>
      <c r="AE11" s="10">
        <v>137200.65729999999</v>
      </c>
      <c r="AF11" s="10">
        <v>143399.66680000001</v>
      </c>
      <c r="AG11" s="10">
        <v>148280.70170000001</v>
      </c>
      <c r="AH11" s="66">
        <v>154192.6894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2:104" x14ac:dyDescent="0.3">
      <c r="B12" s="144" t="s">
        <v>375</v>
      </c>
      <c r="C12" s="65">
        <v>93341.951300000001</v>
      </c>
      <c r="D12" s="11">
        <v>6280.8535000000002</v>
      </c>
      <c r="E12" s="11">
        <v>5063.0038000000004</v>
      </c>
      <c r="F12" s="11">
        <v>8936.8716000000004</v>
      </c>
      <c r="G12" s="11">
        <v>9103.1967000000004</v>
      </c>
      <c r="H12" s="11">
        <v>9621.3580000000002</v>
      </c>
      <c r="I12" s="11">
        <v>9948.5763999999999</v>
      </c>
      <c r="J12" s="11">
        <v>12294.541800000001</v>
      </c>
      <c r="K12" s="11">
        <v>12842.481900000001</v>
      </c>
      <c r="L12" s="11">
        <v>9121.8529999999992</v>
      </c>
      <c r="M12" s="11">
        <v>9491.2013000000006</v>
      </c>
      <c r="N12" s="11">
        <v>9180.6535999999996</v>
      </c>
      <c r="O12" s="11">
        <v>8312.5512999999992</v>
      </c>
      <c r="P12" s="11">
        <v>7992.4862999999996</v>
      </c>
      <c r="Q12" s="11">
        <v>7764.6112999999996</v>
      </c>
      <c r="R12" s="11">
        <v>7119.6715999999997</v>
      </c>
      <c r="S12" s="11">
        <v>6896.7440999999999</v>
      </c>
      <c r="T12" s="11">
        <v>6830.7633999999998</v>
      </c>
      <c r="U12" s="11">
        <v>6963.9273999999996</v>
      </c>
      <c r="V12" s="11">
        <v>7020.3128999999999</v>
      </c>
      <c r="W12" s="11">
        <v>6972.3333000000002</v>
      </c>
      <c r="X12" s="11">
        <v>7152.4413000000004</v>
      </c>
      <c r="Y12" s="11">
        <v>7342.3356999999996</v>
      </c>
      <c r="Z12" s="11">
        <v>8292.7204999999994</v>
      </c>
      <c r="AA12" s="11">
        <v>10103.5574</v>
      </c>
      <c r="AB12" s="11">
        <v>10255.4053</v>
      </c>
      <c r="AC12" s="11">
        <v>10434.5481</v>
      </c>
      <c r="AD12" s="11">
        <v>10541.0502</v>
      </c>
      <c r="AE12" s="11">
        <v>10710.7363</v>
      </c>
      <c r="AF12" s="11">
        <v>10851.9218</v>
      </c>
      <c r="AG12" s="11">
        <v>10943.193799999999</v>
      </c>
      <c r="AH12" s="67">
        <v>11096.331700000001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2:104" x14ac:dyDescent="0.3">
      <c r="B13" s="144" t="s">
        <v>376</v>
      </c>
      <c r="C13" s="65">
        <v>42159.242599999998</v>
      </c>
      <c r="D13" s="11">
        <v>223.91739999999999</v>
      </c>
      <c r="E13" s="11">
        <v>323.51409999999998</v>
      </c>
      <c r="F13" s="11">
        <v>325.75080000000003</v>
      </c>
      <c r="G13" s="11">
        <v>370.00909999999999</v>
      </c>
      <c r="H13" s="11">
        <v>407.3066</v>
      </c>
      <c r="I13" s="11">
        <v>417.77440000000001</v>
      </c>
      <c r="J13" s="11">
        <v>377.92579999999998</v>
      </c>
      <c r="K13" s="11">
        <v>505.899</v>
      </c>
      <c r="L13" s="11">
        <v>395.37119999999999</v>
      </c>
      <c r="M13" s="11">
        <v>387.56760000000003</v>
      </c>
      <c r="N13" s="11">
        <v>389.49950000000001</v>
      </c>
      <c r="O13" s="11">
        <v>412.7167</v>
      </c>
      <c r="P13" s="11">
        <v>437.89210000000003</v>
      </c>
      <c r="Q13" s="11">
        <v>466.90839999999997</v>
      </c>
      <c r="R13" s="11">
        <v>485.16039999999998</v>
      </c>
      <c r="S13" s="11">
        <v>496.03530000000001</v>
      </c>
      <c r="T13" s="11">
        <v>483.5788</v>
      </c>
      <c r="U13" s="11">
        <v>529.72239999999999</v>
      </c>
      <c r="V13" s="11">
        <v>524.97289999999998</v>
      </c>
      <c r="W13" s="11">
        <v>483.16289999999998</v>
      </c>
      <c r="X13" s="11">
        <v>504.08609999999999</v>
      </c>
      <c r="Y13" s="11">
        <v>518.58910000000003</v>
      </c>
      <c r="Z13" s="11">
        <v>511.00979999999998</v>
      </c>
      <c r="AA13" s="11">
        <v>572.51049999999998</v>
      </c>
      <c r="AB13" s="11">
        <v>587.04880000000003</v>
      </c>
      <c r="AC13" s="11">
        <v>628.00139999999999</v>
      </c>
      <c r="AD13" s="11">
        <v>685.06259999999997</v>
      </c>
      <c r="AE13" s="11">
        <v>733.55930000000001</v>
      </c>
      <c r="AF13" s="11">
        <v>775.81920000000002</v>
      </c>
      <c r="AG13" s="11">
        <v>294.5924</v>
      </c>
      <c r="AH13" s="67">
        <v>292.70549999999997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2:104" s="1" customFormat="1" x14ac:dyDescent="0.3">
      <c r="B14" s="144" t="s">
        <v>377</v>
      </c>
      <c r="C14" s="617">
        <v>5236.7102999999997</v>
      </c>
      <c r="D14" s="161">
        <v>9315.7113000000008</v>
      </c>
      <c r="E14" s="161">
        <v>9401.6520999999993</v>
      </c>
      <c r="F14" s="161">
        <v>9931.3346999999994</v>
      </c>
      <c r="G14" s="161">
        <v>10142.331200000001</v>
      </c>
      <c r="H14" s="161">
        <v>10343.875400000001</v>
      </c>
      <c r="I14" s="161">
        <v>10511.7979</v>
      </c>
      <c r="J14" s="161">
        <v>10655.136399999999</v>
      </c>
      <c r="K14" s="161">
        <v>10865.1463</v>
      </c>
      <c r="L14" s="161">
        <v>11087.040499999999</v>
      </c>
      <c r="M14" s="161">
        <v>11389.433199999999</v>
      </c>
      <c r="N14" s="161">
        <v>11600.0509</v>
      </c>
      <c r="O14" s="161">
        <v>11845.765100000001</v>
      </c>
      <c r="P14" s="161">
        <v>12084.669599999999</v>
      </c>
      <c r="Q14" s="161">
        <v>12393.037399999999</v>
      </c>
      <c r="R14" s="161">
        <v>12636.2935</v>
      </c>
      <c r="S14" s="161">
        <v>12868.4925</v>
      </c>
      <c r="T14" s="161">
        <v>13109.425999999999</v>
      </c>
      <c r="U14" s="161">
        <v>13351.076499999999</v>
      </c>
      <c r="V14" s="161">
        <v>13631.921700000001</v>
      </c>
      <c r="W14" s="161">
        <v>13890.270500000001</v>
      </c>
      <c r="X14" s="161">
        <v>14105.7781</v>
      </c>
      <c r="Y14" s="161">
        <v>14202.2173</v>
      </c>
      <c r="Z14" s="161">
        <v>14455.2539</v>
      </c>
      <c r="AA14" s="161">
        <v>14445.416999999999</v>
      </c>
      <c r="AB14" s="161">
        <v>14718.627699999999</v>
      </c>
      <c r="AC14" s="161">
        <v>14983.0929</v>
      </c>
      <c r="AD14" s="161">
        <v>15243.653200000001</v>
      </c>
      <c r="AE14" s="161">
        <v>15529.0453</v>
      </c>
      <c r="AF14" s="161">
        <v>15835.446599999999</v>
      </c>
      <c r="AG14" s="161">
        <v>16124.1762</v>
      </c>
      <c r="AH14" s="618">
        <v>16462.660899999999</v>
      </c>
    </row>
    <row r="15" spans="2:104" x14ac:dyDescent="0.3">
      <c r="B15" s="601" t="s">
        <v>378</v>
      </c>
      <c r="C15" s="614">
        <f t="shared" ref="C15:AE15" si="0">SUM(C11:C14)</f>
        <v>146739.9368</v>
      </c>
      <c r="D15" s="614">
        <f t="shared" si="0"/>
        <v>62207.188900000001</v>
      </c>
      <c r="E15" s="614">
        <f t="shared" si="0"/>
        <v>66533.482199999999</v>
      </c>
      <c r="F15" s="614">
        <f t="shared" si="0"/>
        <v>44397.586600000002</v>
      </c>
      <c r="G15" s="614">
        <f t="shared" si="0"/>
        <v>46780.947200000002</v>
      </c>
      <c r="H15" s="614">
        <f t="shared" si="0"/>
        <v>45380.478799999997</v>
      </c>
      <c r="I15" s="614">
        <f t="shared" si="0"/>
        <v>45921.8586</v>
      </c>
      <c r="J15" s="614">
        <f t="shared" si="0"/>
        <v>42244.8969</v>
      </c>
      <c r="K15" s="614">
        <f t="shared" si="0"/>
        <v>41186.367400000003</v>
      </c>
      <c r="L15" s="614">
        <f t="shared" si="0"/>
        <v>63951.146599999993</v>
      </c>
      <c r="M15" s="614">
        <f t="shared" si="0"/>
        <v>62242.562100000003</v>
      </c>
      <c r="N15" s="614">
        <f t="shared" si="0"/>
        <v>67616.973899999997</v>
      </c>
      <c r="O15" s="614">
        <f t="shared" si="0"/>
        <v>70959.684999999998</v>
      </c>
      <c r="P15" s="614">
        <f t="shared" si="0"/>
        <v>76517.217299999989</v>
      </c>
      <c r="Q15" s="614">
        <f t="shared" si="0"/>
        <v>84731.610400000005</v>
      </c>
      <c r="R15" s="614">
        <f t="shared" si="0"/>
        <v>89155.041400000002</v>
      </c>
      <c r="S15" s="614">
        <f t="shared" si="0"/>
        <v>94866.885999999999</v>
      </c>
      <c r="T15" s="614">
        <f t="shared" si="0"/>
        <v>101629.06520000001</v>
      </c>
      <c r="U15" s="614">
        <f t="shared" si="0"/>
        <v>109799.8409</v>
      </c>
      <c r="V15" s="614">
        <f t="shared" si="0"/>
        <v>119674.82130000001</v>
      </c>
      <c r="W15" s="614">
        <f t="shared" si="0"/>
        <v>121094.40029999999</v>
      </c>
      <c r="X15" s="614">
        <f t="shared" si="0"/>
        <v>123922.5603</v>
      </c>
      <c r="Y15" s="614">
        <f t="shared" si="0"/>
        <v>127592.7513</v>
      </c>
      <c r="Z15" s="614">
        <f t="shared" si="0"/>
        <v>132571.2622</v>
      </c>
      <c r="AA15" s="614">
        <f t="shared" si="0"/>
        <v>140666.12720000002</v>
      </c>
      <c r="AB15" s="614">
        <f t="shared" si="0"/>
        <v>146092.2985</v>
      </c>
      <c r="AC15" s="614">
        <f t="shared" si="0"/>
        <v>151807.9184</v>
      </c>
      <c r="AD15" s="614">
        <f t="shared" si="0"/>
        <v>157822.14970000001</v>
      </c>
      <c r="AE15" s="614">
        <f t="shared" si="0"/>
        <v>164173.99819999997</v>
      </c>
      <c r="AF15" s="614">
        <f>SUM(AF11:AF14)</f>
        <v>170862.85440000001</v>
      </c>
      <c r="AG15" s="614">
        <f>SUM(AG11:AG14)</f>
        <v>175642.66409999999</v>
      </c>
      <c r="AH15" s="615">
        <f>SUM(AH11:AH14)</f>
        <v>182044.38750000001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</row>
    <row r="16" spans="2:104" x14ac:dyDescent="0.3">
      <c r="B16" s="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2:104" x14ac:dyDescent="0.3">
      <c r="B17" s="55" t="s">
        <v>21</v>
      </c>
      <c r="C17" s="10">
        <v>834049.04299999995</v>
      </c>
      <c r="D17" s="10">
        <v>1424853.6418000001</v>
      </c>
      <c r="E17" s="10">
        <v>1429190.1494</v>
      </c>
      <c r="F17" s="10">
        <v>1406203.2882000001</v>
      </c>
      <c r="G17" s="10">
        <v>1406231.0608000001</v>
      </c>
      <c r="H17" s="10">
        <v>1394005.868</v>
      </c>
      <c r="I17" s="10">
        <v>1393756.6584999999</v>
      </c>
      <c r="J17" s="10">
        <v>1326897.8699</v>
      </c>
      <c r="K17" s="10">
        <v>1304909.7856000001</v>
      </c>
      <c r="L17" s="10">
        <v>1411024.2493</v>
      </c>
      <c r="M17" s="10">
        <v>1407350.6061</v>
      </c>
      <c r="N17" s="10">
        <v>1409212.1451999999</v>
      </c>
      <c r="O17" s="10">
        <v>1419984.0504000001</v>
      </c>
      <c r="P17" s="10">
        <v>1420520.5643</v>
      </c>
      <c r="Q17" s="10">
        <v>1418991.2862</v>
      </c>
      <c r="R17" s="10">
        <v>1422608.8444999999</v>
      </c>
      <c r="S17" s="10">
        <v>1421268.4114000001</v>
      </c>
      <c r="T17" s="10">
        <v>1421894.5262</v>
      </c>
      <c r="U17" s="10">
        <v>1422277.8731</v>
      </c>
      <c r="V17" s="10">
        <v>1424676.6236</v>
      </c>
      <c r="W17" s="10">
        <v>1424344.0430000001</v>
      </c>
      <c r="X17" s="10">
        <v>1422134.1734</v>
      </c>
      <c r="Y17" s="10">
        <v>1422699.4332999999</v>
      </c>
      <c r="Z17" s="10">
        <v>1418110.8670000001</v>
      </c>
      <c r="AA17" s="10">
        <v>1404384.8598</v>
      </c>
      <c r="AB17" s="10">
        <v>1405093.9256</v>
      </c>
      <c r="AC17" s="10">
        <v>1405734.6412</v>
      </c>
      <c r="AD17" s="10">
        <v>1405965.5436</v>
      </c>
      <c r="AE17" s="10">
        <v>1406924.5578000001</v>
      </c>
      <c r="AF17" s="10">
        <v>1407364.0182</v>
      </c>
      <c r="AG17" s="10">
        <v>1407527.9876999999</v>
      </c>
      <c r="AH17" s="66">
        <v>1408114.8998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2:104" x14ac:dyDescent="0.3">
      <c r="B18" s="56" t="s">
        <v>22</v>
      </c>
      <c r="C18" s="603">
        <f>C17-C19</f>
        <v>231458.09829999995</v>
      </c>
      <c r="D18" s="603">
        <f t="shared" ref="D18:AE18" si="1">D17-D19</f>
        <v>230524.02940000012</v>
      </c>
      <c r="E18" s="603">
        <f t="shared" si="1"/>
        <v>229538.75579999993</v>
      </c>
      <c r="F18" s="603">
        <f t="shared" si="1"/>
        <v>231241.15000000014</v>
      </c>
      <c r="G18" s="603">
        <f t="shared" si="1"/>
        <v>231315.51710000006</v>
      </c>
      <c r="H18" s="603">
        <f t="shared" si="1"/>
        <v>231342.87379999994</v>
      </c>
      <c r="I18" s="603">
        <f t="shared" si="1"/>
        <v>231390.15779999993</v>
      </c>
      <c r="J18" s="603">
        <f t="shared" si="1"/>
        <v>231526.34920000006</v>
      </c>
      <c r="K18" s="603">
        <f t="shared" si="1"/>
        <v>231721.57499999995</v>
      </c>
      <c r="L18" s="603">
        <f t="shared" si="1"/>
        <v>230020.40259999991</v>
      </c>
      <c r="M18" s="603">
        <f t="shared" si="1"/>
        <v>230556.38390000002</v>
      </c>
      <c r="N18" s="603">
        <f t="shared" si="1"/>
        <v>230357.59179999982</v>
      </c>
      <c r="O18" s="603">
        <f t="shared" si="1"/>
        <v>230083.98080000002</v>
      </c>
      <c r="P18" s="603">
        <f t="shared" si="1"/>
        <v>229739.73050000006</v>
      </c>
      <c r="Q18" s="603">
        <f t="shared" si="1"/>
        <v>229566.23249999993</v>
      </c>
      <c r="R18" s="603">
        <f t="shared" si="1"/>
        <v>229574.81339999987</v>
      </c>
      <c r="S18" s="603">
        <f t="shared" si="1"/>
        <v>229686.78930000006</v>
      </c>
      <c r="T18" s="603">
        <f t="shared" si="1"/>
        <v>229974.64899999998</v>
      </c>
      <c r="U18" s="603">
        <f t="shared" si="1"/>
        <v>230319.54979999992</v>
      </c>
      <c r="V18" s="603">
        <f t="shared" si="1"/>
        <v>230880.76839999994</v>
      </c>
      <c r="W18" s="603">
        <f t="shared" si="1"/>
        <v>230683.12230000016</v>
      </c>
      <c r="X18" s="603">
        <f t="shared" si="1"/>
        <v>230401.54450000008</v>
      </c>
      <c r="Y18" s="603">
        <f t="shared" si="1"/>
        <v>230217.50749999983</v>
      </c>
      <c r="Z18" s="603">
        <f t="shared" si="1"/>
        <v>230304.38110000012</v>
      </c>
      <c r="AA18" s="603">
        <f t="shared" si="1"/>
        <v>230366.51179999998</v>
      </c>
      <c r="AB18" s="603">
        <f t="shared" si="1"/>
        <v>230328.8226999999</v>
      </c>
      <c r="AC18" s="603">
        <f t="shared" si="1"/>
        <v>230280.87329999986</v>
      </c>
      <c r="AD18" s="603">
        <f t="shared" si="1"/>
        <v>230220.58279999997</v>
      </c>
      <c r="AE18" s="603">
        <f t="shared" si="1"/>
        <v>230198.82790000015</v>
      </c>
      <c r="AF18" s="603">
        <f>AF17-AF19</f>
        <v>230178.33880000003</v>
      </c>
      <c r="AG18" s="603">
        <f>AG17-AG19</f>
        <v>230187.26569999987</v>
      </c>
      <c r="AH18" s="604">
        <f>AH17-AH19</f>
        <v>230168.89470000006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2:104" x14ac:dyDescent="0.3">
      <c r="B19" s="57" t="s">
        <v>23</v>
      </c>
      <c r="C19" s="161">
        <v>602590.94469999999</v>
      </c>
      <c r="D19" s="161">
        <v>1194329.6124</v>
      </c>
      <c r="E19" s="161">
        <v>1199651.3936000001</v>
      </c>
      <c r="F19" s="161">
        <v>1174962.1381999999</v>
      </c>
      <c r="G19" s="161">
        <v>1174915.5437</v>
      </c>
      <c r="H19" s="161">
        <v>1162662.9942000001</v>
      </c>
      <c r="I19" s="161">
        <v>1162366.5007</v>
      </c>
      <c r="J19" s="161">
        <v>1095371.5207</v>
      </c>
      <c r="K19" s="161">
        <v>1073188.2106000001</v>
      </c>
      <c r="L19" s="161">
        <v>1181003.8467000001</v>
      </c>
      <c r="M19" s="161">
        <v>1176794.2222</v>
      </c>
      <c r="N19" s="161">
        <v>1178854.5534000001</v>
      </c>
      <c r="O19" s="161">
        <v>1189900.0696</v>
      </c>
      <c r="P19" s="161">
        <v>1190780.8337999999</v>
      </c>
      <c r="Q19" s="161">
        <v>1189425.0537</v>
      </c>
      <c r="R19" s="161">
        <v>1193034.0311</v>
      </c>
      <c r="S19" s="161">
        <v>1191581.6221</v>
      </c>
      <c r="T19" s="161">
        <v>1191919.8772</v>
      </c>
      <c r="U19" s="161">
        <v>1191958.3233</v>
      </c>
      <c r="V19" s="161">
        <v>1193795.8552000001</v>
      </c>
      <c r="W19" s="161">
        <v>1193660.9206999999</v>
      </c>
      <c r="X19" s="161">
        <v>1191732.6288999999</v>
      </c>
      <c r="Y19" s="161">
        <v>1192481.9258000001</v>
      </c>
      <c r="Z19" s="161">
        <v>1187806.4859</v>
      </c>
      <c r="AA19" s="161">
        <v>1174018.348</v>
      </c>
      <c r="AB19" s="161">
        <v>1174765.1029000001</v>
      </c>
      <c r="AC19" s="161">
        <v>1175453.7679000001</v>
      </c>
      <c r="AD19" s="161">
        <v>1175744.9608</v>
      </c>
      <c r="AE19" s="161">
        <v>1176725.7298999999</v>
      </c>
      <c r="AF19" s="161">
        <v>1177185.6794</v>
      </c>
      <c r="AG19" s="161">
        <v>1177340.7220000001</v>
      </c>
      <c r="AH19" s="618">
        <v>1177946.0051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2:104" x14ac:dyDescent="0.3">
      <c r="B20" s="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2:104" x14ac:dyDescent="0.3">
      <c r="B21" s="77" t="s">
        <v>24</v>
      </c>
      <c r="C21" s="162">
        <f t="shared" ref="C21:U21" si="2">C19/C17</f>
        <v>0.72248862313004303</v>
      </c>
      <c r="D21" s="162">
        <f>D19/D17</f>
        <v>0.83821213446962739</v>
      </c>
      <c r="E21" s="162">
        <f t="shared" si="2"/>
        <v>0.83939243081379722</v>
      </c>
      <c r="F21" s="162">
        <f t="shared" si="2"/>
        <v>0.83555638651933561</v>
      </c>
      <c r="G21" s="162">
        <f t="shared" si="2"/>
        <v>0.83550675024316035</v>
      </c>
      <c r="H21" s="162">
        <f t="shared" si="2"/>
        <v>0.83404454808220363</v>
      </c>
      <c r="I21" s="162">
        <f t="shared" si="2"/>
        <v>0.83398094897783048</v>
      </c>
      <c r="J21" s="162">
        <f t="shared" si="2"/>
        <v>0.82551305985784063</v>
      </c>
      <c r="K21" s="162">
        <f t="shared" si="2"/>
        <v>0.82242329886931309</v>
      </c>
      <c r="L21" s="162">
        <f t="shared" si="2"/>
        <v>0.83698338089220536</v>
      </c>
      <c r="M21" s="162">
        <f t="shared" si="2"/>
        <v>0.83617701026263125</v>
      </c>
      <c r="N21" s="162">
        <f t="shared" si="2"/>
        <v>0.83653448305520617</v>
      </c>
      <c r="O21" s="162">
        <f t="shared" si="2"/>
        <v>0.83796720763505272</v>
      </c>
      <c r="P21" s="162">
        <f t="shared" si="2"/>
        <v>0.83827074646173072</v>
      </c>
      <c r="Q21" s="162">
        <f t="shared" si="2"/>
        <v>0.83821871583526864</v>
      </c>
      <c r="R21" s="162">
        <f t="shared" si="2"/>
        <v>0.83862407837012443</v>
      </c>
      <c r="S21" s="162">
        <f t="shared" si="2"/>
        <v>0.83839309488786118</v>
      </c>
      <c r="T21" s="162">
        <f t="shared" si="2"/>
        <v>0.83826180862049937</v>
      </c>
      <c r="U21" s="162">
        <f t="shared" si="2"/>
        <v>0.83806290306830489</v>
      </c>
      <c r="V21" s="162">
        <f>U21</f>
        <v>0.83806290306830489</v>
      </c>
      <c r="W21" s="162">
        <f t="shared" ref="W21:AH21" si="3">V21</f>
        <v>0.83806290306830489</v>
      </c>
      <c r="X21" s="162">
        <f t="shared" si="3"/>
        <v>0.83806290306830489</v>
      </c>
      <c r="Y21" s="162">
        <f t="shared" si="3"/>
        <v>0.83806290306830489</v>
      </c>
      <c r="Z21" s="162">
        <f t="shared" si="3"/>
        <v>0.83806290306830489</v>
      </c>
      <c r="AA21" s="162">
        <f t="shared" si="3"/>
        <v>0.83806290306830489</v>
      </c>
      <c r="AB21" s="162">
        <f t="shared" si="3"/>
        <v>0.83806290306830489</v>
      </c>
      <c r="AC21" s="162">
        <f t="shared" si="3"/>
        <v>0.83806290306830489</v>
      </c>
      <c r="AD21" s="162">
        <f t="shared" si="3"/>
        <v>0.83806290306830489</v>
      </c>
      <c r="AE21" s="162">
        <f t="shared" si="3"/>
        <v>0.83806290306830489</v>
      </c>
      <c r="AF21" s="162">
        <f t="shared" si="3"/>
        <v>0.83806290306830489</v>
      </c>
      <c r="AG21" s="162">
        <f t="shared" si="3"/>
        <v>0.83806290306830489</v>
      </c>
      <c r="AH21" s="163">
        <f t="shared" si="3"/>
        <v>0.83806290306830489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  <row r="22" spans="2:104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2:104" x14ac:dyDescent="0.3">
      <c r="B23" s="602" t="s">
        <v>379</v>
      </c>
      <c r="C23" s="164">
        <f t="shared" ref="C23:AH23" si="4">C11/C19*1000</f>
        <v>9.9603763594358554</v>
      </c>
      <c r="D23" s="164">
        <f t="shared" si="4"/>
        <v>38.839116286153299</v>
      </c>
      <c r="E23" s="164">
        <f t="shared" si="4"/>
        <v>43.133624047831887</v>
      </c>
      <c r="F23" s="164">
        <f t="shared" si="4"/>
        <v>21.450588645018861</v>
      </c>
      <c r="G23" s="165">
        <f t="shared" si="4"/>
        <v>23.121159938400091</v>
      </c>
      <c r="H23" s="165">
        <f t="shared" si="4"/>
        <v>21.509189614491298</v>
      </c>
      <c r="I23" s="165">
        <f t="shared" si="4"/>
        <v>21.545450496825389</v>
      </c>
      <c r="J23" s="165">
        <f t="shared" si="4"/>
        <v>17.270206995988772</v>
      </c>
      <c r="K23" s="165">
        <f t="shared" si="4"/>
        <v>15.815343508582515</v>
      </c>
      <c r="L23" s="165">
        <f t="shared" si="4"/>
        <v>36.70342143348752</v>
      </c>
      <c r="M23" s="165">
        <f t="shared" si="4"/>
        <v>34.818627783028219</v>
      </c>
      <c r="N23" s="165">
        <f t="shared" si="4"/>
        <v>39.399915592674503</v>
      </c>
      <c r="O23" s="165">
        <f t="shared" si="4"/>
        <v>42.346961049375167</v>
      </c>
      <c r="P23" s="165">
        <f t="shared" si="4"/>
        <v>47.029787271001673</v>
      </c>
      <c r="Q23" s="165">
        <f t="shared" si="4"/>
        <v>53.897513845516535</v>
      </c>
      <c r="R23" s="165">
        <f t="shared" si="4"/>
        <v>57.763579330976896</v>
      </c>
      <c r="S23" s="165">
        <f t="shared" si="4"/>
        <v>62.610578005154018</v>
      </c>
      <c r="T23" s="165">
        <f t="shared" si="4"/>
        <v>68.129828651539512</v>
      </c>
      <c r="U23" s="165">
        <f t="shared" si="4"/>
        <v>74.629383310754548</v>
      </c>
      <c r="V23" s="165">
        <f t="shared" si="4"/>
        <v>82.507920739512386</v>
      </c>
      <c r="W23" s="165">
        <f t="shared" si="4"/>
        <v>83.56530055579293</v>
      </c>
      <c r="X23" s="165">
        <f t="shared" si="4"/>
        <v>85.724140065122285</v>
      </c>
      <c r="Y23" s="165">
        <f t="shared" si="4"/>
        <v>88.495772486617255</v>
      </c>
      <c r="Z23" s="165">
        <f t="shared" si="4"/>
        <v>92.028692634368127</v>
      </c>
      <c r="AA23" s="165">
        <f t="shared" si="4"/>
        <v>98.418089033136653</v>
      </c>
      <c r="AB23" s="165">
        <f t="shared" si="4"/>
        <v>102.60026996244544</v>
      </c>
      <c r="AC23" s="165">
        <f t="shared" si="4"/>
        <v>106.99040611752841</v>
      </c>
      <c r="AD23" s="165">
        <f t="shared" si="4"/>
        <v>111.71843221052401</v>
      </c>
      <c r="AE23" s="165">
        <f t="shared" si="4"/>
        <v>116.59527263983556</v>
      </c>
      <c r="AF23" s="165">
        <f t="shared" si="4"/>
        <v>121.81567386471217</v>
      </c>
      <c r="AG23" s="165">
        <f t="shared" si="4"/>
        <v>125.9454454680792</v>
      </c>
      <c r="AH23" s="166">
        <f t="shared" si="4"/>
        <v>130.89962420383611</v>
      </c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2:104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</row>
    <row r="25" spans="2:104" x14ac:dyDescent="0.3">
      <c r="B25" s="139" t="s">
        <v>19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67" t="s">
        <v>365</v>
      </c>
      <c r="O25" s="140"/>
      <c r="P25" s="140"/>
      <c r="Q25" s="140"/>
      <c r="R25" s="140"/>
      <c r="S25" s="140"/>
      <c r="T25" s="140"/>
      <c r="U25" s="140"/>
      <c r="V25" s="168"/>
      <c r="W25" s="17"/>
      <c r="X25" s="17"/>
      <c r="Y25" s="17"/>
      <c r="Z25" s="17"/>
      <c r="AA25" s="17"/>
      <c r="AB25" s="17"/>
      <c r="AC25" s="17"/>
      <c r="AD25" s="17"/>
      <c r="AE25" s="17"/>
      <c r="AF25" s="169"/>
      <c r="AG25" s="169"/>
      <c r="AH25" s="16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</row>
    <row r="26" spans="2:104" x14ac:dyDescent="0.3">
      <c r="B26" s="55" t="s">
        <v>381</v>
      </c>
      <c r="C26" s="173">
        <f>C15/('Battery Costs'!$F$14*1000)</f>
        <v>146.73993680000001</v>
      </c>
      <c r="D26" s="173">
        <f>D15/('Battery Costs'!$F$14*1000)</f>
        <v>62.207188899999998</v>
      </c>
      <c r="E26" s="173">
        <f>E15/('Battery Costs'!$F$14*1000)</f>
        <v>66.533482199999995</v>
      </c>
      <c r="F26" s="173">
        <f>F15/('Battery Costs'!$F$14*1000)</f>
        <v>44.397586600000004</v>
      </c>
      <c r="G26" s="173">
        <f>G15/('Battery Costs'!$F$14*1000)</f>
        <v>46.7809472</v>
      </c>
      <c r="H26" s="173">
        <f>H15/('Battery Costs'!$F$14*1000)</f>
        <v>45.380478799999999</v>
      </c>
      <c r="I26" s="173">
        <f>I15/('Battery Costs'!$F$14*1000)</f>
        <v>45.9218586</v>
      </c>
      <c r="J26" s="173">
        <f>J15/('Battery Costs'!$F$14*1000)</f>
        <v>42.244896900000001</v>
      </c>
      <c r="K26" s="173">
        <f>K15/('Battery Costs'!$F$14*1000)</f>
        <v>41.186367400000002</v>
      </c>
      <c r="L26" s="173">
        <f>L15/('Battery Costs'!$F$14*1000)</f>
        <v>63.951146599999994</v>
      </c>
      <c r="M26" s="173">
        <f>M15/('Battery Costs'!$F$14*1000)</f>
        <v>62.242562100000001</v>
      </c>
      <c r="N26" s="173">
        <f>N15/('Battery Costs'!$F$14*1000)</f>
        <v>67.616973899999991</v>
      </c>
      <c r="O26" s="173">
        <f>O15/('Battery Costs'!$F$14*1000)</f>
        <v>70.959684999999993</v>
      </c>
      <c r="P26" s="173">
        <f>P15/('Battery Costs'!$F$14*1000)</f>
        <v>76.517217299999984</v>
      </c>
      <c r="Q26" s="173">
        <f>Q15/('Battery Costs'!$F$14*1000)</f>
        <v>84.731610400000008</v>
      </c>
      <c r="R26" s="173">
        <f>R15/('Battery Costs'!$F$14*1000)</f>
        <v>89.155041400000002</v>
      </c>
      <c r="S26" s="173">
        <f>S15/('Battery Costs'!$F$14*1000)</f>
        <v>94.866885999999994</v>
      </c>
      <c r="T26" s="173">
        <f>T15/('Battery Costs'!$F$14*1000)</f>
        <v>101.62906520000001</v>
      </c>
      <c r="U26" s="173">
        <f>U15/('Battery Costs'!$F$14*1000)</f>
        <v>109.79984089999999</v>
      </c>
      <c r="V26" s="173">
        <f>V15/('Battery Costs'!$F$14*1000)</f>
        <v>119.6748213</v>
      </c>
      <c r="W26" s="173">
        <f>W15/('Battery Costs'!$F$14*1000)</f>
        <v>121.09440029999999</v>
      </c>
      <c r="X26" s="173">
        <f>X15/('Battery Costs'!$F$14*1000)</f>
        <v>123.9225603</v>
      </c>
      <c r="Y26" s="173">
        <f>Y15/('Battery Costs'!$F$14*1000)</f>
        <v>127.5927513</v>
      </c>
      <c r="Z26" s="173">
        <f>Z15/('Battery Costs'!$F$14*1000)</f>
        <v>132.57126220000001</v>
      </c>
      <c r="AA26" s="173">
        <f>AA15/('Battery Costs'!$F$14*1000)</f>
        <v>140.66612720000001</v>
      </c>
      <c r="AB26" s="173">
        <f>AB15/('Battery Costs'!$F$14*1000)</f>
        <v>146.0922985</v>
      </c>
      <c r="AC26" s="173">
        <f>AC15/('Battery Costs'!$F$14*1000)</f>
        <v>151.80791840000001</v>
      </c>
      <c r="AD26" s="173">
        <f>AD15/('Battery Costs'!$F$14*1000)</f>
        <v>157.82214970000001</v>
      </c>
      <c r="AE26" s="173">
        <f>AE15/('Battery Costs'!$F$14*1000)</f>
        <v>164.17399819999997</v>
      </c>
      <c r="AF26" s="173">
        <f>AF15/('Battery Costs'!$F$14*1000)</f>
        <v>170.8628544</v>
      </c>
      <c r="AG26" s="173">
        <f>AG15/('Battery Costs'!$F$14*1000)</f>
        <v>175.64266409999999</v>
      </c>
      <c r="AH26" s="174">
        <f>AH15/('Battery Costs'!$F$14*1000)</f>
        <v>182.0443875</v>
      </c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</row>
    <row r="27" spans="2:104" x14ac:dyDescent="0.3">
      <c r="B27" s="74" t="s">
        <v>382</v>
      </c>
      <c r="C27" s="50">
        <f>C26*(1-'IRP Inputs'!$C$5)</f>
        <v>105.67681984563521</v>
      </c>
      <c r="D27" s="50">
        <f>D26*(1-'IRP Inputs'!$C$5)</f>
        <v>44.7993779869796</v>
      </c>
      <c r="E27" s="50">
        <f>E26*(1-'IRP Inputs'!$C$5)</f>
        <v>47.915018675080795</v>
      </c>
      <c r="F27" s="50">
        <f>F26*(1-'IRP Inputs'!$C$5)</f>
        <v>31.973543556202404</v>
      </c>
      <c r="G27" s="50">
        <f>G26*(1-'IRP Inputs'!$C$5)</f>
        <v>33.689954059340799</v>
      </c>
      <c r="H27" s="50">
        <f>H26*(1-'IRP Inputs'!$C$5)</f>
        <v>32.681387134523199</v>
      </c>
      <c r="I27" s="50">
        <f>I26*(1-'IRP Inputs'!$C$5)</f>
        <v>33.071269376810399</v>
      </c>
      <c r="J27" s="50">
        <f>J26*(1-'IRP Inputs'!$C$5)</f>
        <v>30.423253931091601</v>
      </c>
      <c r="K27" s="50">
        <f>K26*(1-'IRP Inputs'!$C$5)</f>
        <v>29.660939092253603</v>
      </c>
      <c r="L27" s="50">
        <f>L26*(1-'IRP Inputs'!$C$5)</f>
        <v>46.055313540042398</v>
      </c>
      <c r="M27" s="50">
        <f>M26*(1-'IRP Inputs'!$C$5)</f>
        <v>44.824852492184405</v>
      </c>
      <c r="N27" s="50">
        <f>N26*(1-'IRP Inputs'!$C$5)</f>
        <v>48.695310391719595</v>
      </c>
      <c r="O27" s="50">
        <f>O26*(1-'IRP Inputs'!$C$5)</f>
        <v>51.102610588339999</v>
      </c>
      <c r="P27" s="50">
        <f>P26*(1-'IRP Inputs'!$C$5)</f>
        <v>55.104945279637192</v>
      </c>
      <c r="Q27" s="50">
        <f>Q26*(1-'IRP Inputs'!$C$5)</f>
        <v>61.020655472105609</v>
      </c>
      <c r="R27" s="50">
        <f>R26*(1-'IRP Inputs'!$C$5)</f>
        <v>64.206251234789605</v>
      </c>
      <c r="S27" s="50">
        <f>S26*(1-'IRP Inputs'!$C$5)</f>
        <v>68.319716089303995</v>
      </c>
      <c r="T27" s="50">
        <f>T26*(1-'IRP Inputs'!$C$5)</f>
        <v>73.189594110692809</v>
      </c>
      <c r="U27" s="50">
        <f>U26*(1-'IRP Inputs'!$C$5)</f>
        <v>79.073892621907603</v>
      </c>
      <c r="V27" s="50">
        <f>V26*(1-'IRP Inputs'!$C$5)</f>
        <v>86.185498006693209</v>
      </c>
      <c r="W27" s="50">
        <f>W26*(1-'IRP Inputs'!$C$5)</f>
        <v>87.207827697649194</v>
      </c>
      <c r="X27" s="50">
        <f>X26*(1-'IRP Inputs'!$C$5)</f>
        <v>89.244566715889206</v>
      </c>
      <c r="Y27" s="50">
        <f>Y26*(1-'IRP Inputs'!$C$5)</f>
        <v>91.887706147213208</v>
      </c>
      <c r="Z27" s="50">
        <f>Z26*(1-'IRP Inputs'!$C$5)</f>
        <v>95.473050471000803</v>
      </c>
      <c r="AA27" s="50">
        <f>AA26*(1-'IRP Inputs'!$C$5)</f>
        <v>101.3026808288608</v>
      </c>
      <c r="AB27" s="50">
        <f>AB26*(1-'IRP Inputs'!$C$5)</f>
        <v>105.21041405695401</v>
      </c>
      <c r="AC27" s="50">
        <f>AC26*(1-'IRP Inputs'!$C$5)</f>
        <v>109.32659774661761</v>
      </c>
      <c r="AD27" s="50">
        <f>AD26*(1-'IRP Inputs'!$C$5)</f>
        <v>113.65783061655081</v>
      </c>
      <c r="AE27" s="50">
        <f>AE26*(1-'IRP Inputs'!$C$5)</f>
        <v>118.23220323970479</v>
      </c>
      <c r="AF27" s="50">
        <f>AF26*(1-'IRP Inputs'!$C$5)</f>
        <v>123.04927667612161</v>
      </c>
      <c r="AG27" s="50">
        <f>AG26*(1-'IRP Inputs'!$C$5)</f>
        <v>126.4915235489124</v>
      </c>
      <c r="AH27" s="170">
        <f>AH26*(1-'IRP Inputs'!$C$5)</f>
        <v>131.10181427955001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2:104" x14ac:dyDescent="0.3">
      <c r="B28" s="600" t="s">
        <v>372</v>
      </c>
      <c r="C28" s="171">
        <f>C27*(1+inflation_rate)^(dollar_year-C$2)</f>
        <v>99.581627584446423</v>
      </c>
      <c r="D28" s="171">
        <f t="shared" ref="D28:AH28" si="5">D27*(1+inflation_rate)^(dollar_year-D$2)</f>
        <v>41.387700442104013</v>
      </c>
      <c r="E28" s="171">
        <f t="shared" si="5"/>
        <v>43.398108667596475</v>
      </c>
      <c r="F28" s="171">
        <f t="shared" si="5"/>
        <v>28.391591664991463</v>
      </c>
      <c r="G28" s="171">
        <f t="shared" si="5"/>
        <v>29.329132423394277</v>
      </c>
      <c r="H28" s="171">
        <f t="shared" si="5"/>
        <v>27.893249236451943</v>
      </c>
      <c r="I28" s="171">
        <f t="shared" si="5"/>
        <v>27.672558800139292</v>
      </c>
      <c r="J28" s="171">
        <f t="shared" si="5"/>
        <v>24.957664639041131</v>
      </c>
      <c r="K28" s="171">
        <f t="shared" si="5"/>
        <v>23.855197016696842</v>
      </c>
      <c r="L28" s="171">
        <f t="shared" si="5"/>
        <v>36.31430042559689</v>
      </c>
      <c r="M28" s="171">
        <f t="shared" si="5"/>
        <v>34.651068908374327</v>
      </c>
      <c r="N28" s="171">
        <f t="shared" si="5"/>
        <v>36.904959560458877</v>
      </c>
      <c r="O28" s="171">
        <f t="shared" si="5"/>
        <v>37.96999240800389</v>
      </c>
      <c r="P28" s="171">
        <f t="shared" si="5"/>
        <v>40.140966703903679</v>
      </c>
      <c r="Q28" s="171">
        <f t="shared" si="5"/>
        <v>43.578667675248944</v>
      </c>
      <c r="R28" s="171">
        <f t="shared" si="5"/>
        <v>44.954608733436068</v>
      </c>
      <c r="S28" s="171">
        <f t="shared" si="5"/>
        <v>46.896754622466595</v>
      </c>
      <c r="T28" s="171">
        <f t="shared" si="5"/>
        <v>49.254498718310593</v>
      </c>
      <c r="U28" s="171">
        <f t="shared" si="5"/>
        <v>52.171042090008406</v>
      </c>
      <c r="V28" s="171">
        <f t="shared" si="5"/>
        <v>55.748144452274296</v>
      </c>
      <c r="W28" s="171">
        <f t="shared" si="5"/>
        <v>55.303360004018806</v>
      </c>
      <c r="X28" s="171">
        <f t="shared" si="5"/>
        <v>55.485264809060148</v>
      </c>
      <c r="Y28" s="171">
        <f t="shared" si="5"/>
        <v>56.008393518757593</v>
      </c>
      <c r="Z28" s="171">
        <f t="shared" si="5"/>
        <v>57.052717221156335</v>
      </c>
      <c r="AA28" s="171">
        <f t="shared" si="5"/>
        <v>59.349395648273706</v>
      </c>
      <c r="AB28" s="171">
        <f t="shared" si="5"/>
        <v>60.430184533829262</v>
      </c>
      <c r="AC28" s="171">
        <f t="shared" si="5"/>
        <v>61.563152647266925</v>
      </c>
      <c r="AD28" s="171">
        <f t="shared" si="5"/>
        <v>62.747179588007462</v>
      </c>
      <c r="AE28" s="171">
        <f t="shared" si="5"/>
        <v>63.992703479017131</v>
      </c>
      <c r="AF28" s="171">
        <f t="shared" si="5"/>
        <v>65.294044178125347</v>
      </c>
      <c r="AG28" s="171">
        <f t="shared" si="5"/>
        <v>65.804524517409902</v>
      </c>
      <c r="AH28" s="172">
        <f t="shared" si="5"/>
        <v>66.865617847302772</v>
      </c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</row>
    <row r="29" spans="2:104" s="116" customFormat="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</row>
    <row r="30" spans="2:104" s="116" customFormat="1" x14ac:dyDescent="0.3">
      <c r="B30" s="139" t="s">
        <v>380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6"/>
      <c r="AG30" s="176"/>
      <c r="AH30" s="176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</row>
    <row r="31" spans="2:104" x14ac:dyDescent="0.3">
      <c r="B31" s="73" t="s">
        <v>492</v>
      </c>
      <c r="C31" s="654">
        <f ca="1">C147</f>
        <v>130.12499040727999</v>
      </c>
      <c r="D31" s="654">
        <f t="shared" ref="D31:AH31" ca="1" si="6">D147</f>
        <v>214.61728705063024</v>
      </c>
      <c r="E31" s="654">
        <f t="shared" ca="1" si="6"/>
        <v>149.08674520354458</v>
      </c>
      <c r="F31" s="654">
        <f t="shared" ca="1" si="6"/>
        <v>228.25299537701432</v>
      </c>
      <c r="G31" s="654">
        <f t="shared" ca="1" si="6"/>
        <v>210.74502382783476</v>
      </c>
      <c r="H31" s="654">
        <f t="shared" ca="1" si="6"/>
        <v>205.66283970635081</v>
      </c>
      <c r="I31" s="654">
        <f t="shared" ca="1" si="6"/>
        <v>204.98004811903334</v>
      </c>
      <c r="J31" s="654">
        <f t="shared" ca="1" si="6"/>
        <v>203.03777122259277</v>
      </c>
      <c r="K31" s="654">
        <f t="shared" ca="1" si="6"/>
        <v>193.56939215599959</v>
      </c>
      <c r="L31" s="654">
        <f t="shared" ca="1" si="6"/>
        <v>87.164893874056645</v>
      </c>
      <c r="M31" s="654">
        <f t="shared" ca="1" si="6"/>
        <v>97.261647599921844</v>
      </c>
      <c r="N31" s="654">
        <f t="shared" ca="1" si="6"/>
        <v>109.70055066766525</v>
      </c>
      <c r="O31" s="654">
        <f t="shared" ca="1" si="6"/>
        <v>89.924856354738807</v>
      </c>
      <c r="P31" s="654">
        <f t="shared" ca="1" si="6"/>
        <v>94.382330796225062</v>
      </c>
      <c r="Q31" s="654">
        <f t="shared" ca="1" si="6"/>
        <v>76.139821341131025</v>
      </c>
      <c r="R31" s="654">
        <f t="shared" ca="1" si="6"/>
        <v>75.187723942556431</v>
      </c>
      <c r="S31" s="654">
        <f t="shared" ca="1" si="6"/>
        <v>79.136899679780655</v>
      </c>
      <c r="T31" s="654">
        <f t="shared" ca="1" si="6"/>
        <v>68.394276433193085</v>
      </c>
      <c r="U31" s="654">
        <f t="shared" ca="1" si="6"/>
        <v>89.109314636207074</v>
      </c>
      <c r="V31" s="654">
        <f t="shared" ca="1" si="6"/>
        <v>80.126207982032525</v>
      </c>
      <c r="W31" s="654">
        <f t="shared" ca="1" si="6"/>
        <v>61.029005015456413</v>
      </c>
      <c r="X31" s="654">
        <f t="shared" ca="1" si="6"/>
        <v>83.896047150287814</v>
      </c>
      <c r="Y31" s="654">
        <f t="shared" ca="1" si="6"/>
        <v>54.457807382052614</v>
      </c>
      <c r="Z31" s="654">
        <f t="shared" ca="1" si="6"/>
        <v>69.98993444820232</v>
      </c>
      <c r="AA31" s="654">
        <f t="shared" ca="1" si="6"/>
        <v>57.493124466834637</v>
      </c>
      <c r="AB31" s="654">
        <f t="shared" ca="1" si="6"/>
        <v>32.817010227327209</v>
      </c>
      <c r="AC31" s="654">
        <f t="shared" ca="1" si="6"/>
        <v>46.560407372453696</v>
      </c>
      <c r="AD31" s="654">
        <f t="shared" ca="1" si="6"/>
        <v>24.002253281614877</v>
      </c>
      <c r="AE31" s="654">
        <f t="shared" ca="1" si="6"/>
        <v>27.464092372567997</v>
      </c>
      <c r="AF31" s="654">
        <f t="shared" ca="1" si="6"/>
        <v>0</v>
      </c>
      <c r="AG31" s="654">
        <f t="shared" ca="1" si="6"/>
        <v>0</v>
      </c>
      <c r="AH31" s="655">
        <f t="shared" ca="1" si="6"/>
        <v>0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2:104" x14ac:dyDescent="0.3">
      <c r="B32" s="600" t="s">
        <v>373</v>
      </c>
      <c r="C32" s="656">
        <f t="shared" ref="C32:AH32" ca="1" si="7">C153</f>
        <v>138.08968082012879</v>
      </c>
      <c r="D32" s="656">
        <f t="shared" ca="1" si="7"/>
        <v>232.30865359555372</v>
      </c>
      <c r="E32" s="656">
        <f t="shared" ca="1" si="7"/>
        <v>164.60381339080325</v>
      </c>
      <c r="F32" s="656">
        <f t="shared" ca="1" si="7"/>
        <v>257.04994547803307</v>
      </c>
      <c r="G32" s="656">
        <f t="shared" ca="1" si="7"/>
        <v>242.07978839943976</v>
      </c>
      <c r="H32" s="656">
        <f t="shared" ca="1" si="7"/>
        <v>240.96679546551115</v>
      </c>
      <c r="I32" s="656">
        <f t="shared" ca="1" si="7"/>
        <v>244.97013222290042</v>
      </c>
      <c r="J32" s="656">
        <f t="shared" ca="1" si="7"/>
        <v>247.50191016851267</v>
      </c>
      <c r="K32" s="656">
        <f t="shared" ca="1" si="7"/>
        <v>240.67920909833919</v>
      </c>
      <c r="L32" s="656">
        <f t="shared" ca="1" si="7"/>
        <v>110.5461614296874</v>
      </c>
      <c r="M32" s="656">
        <f t="shared" ca="1" si="7"/>
        <v>125.81831222411944</v>
      </c>
      <c r="N32" s="656">
        <f t="shared" ca="1" si="7"/>
        <v>144.74754690228687</v>
      </c>
      <c r="O32" s="656">
        <f t="shared" ca="1" si="7"/>
        <v>121.02701699618834</v>
      </c>
      <c r="P32" s="656">
        <f t="shared" ca="1" si="7"/>
        <v>129.56671453019121</v>
      </c>
      <c r="Q32" s="656">
        <f t="shared" ca="1" si="7"/>
        <v>106.61413149176295</v>
      </c>
      <c r="R32" s="656">
        <f t="shared" ca="1" si="7"/>
        <v>107.3865845847569</v>
      </c>
      <c r="S32" s="656">
        <f t="shared" ca="1" si="7"/>
        <v>115.28751961271598</v>
      </c>
      <c r="T32" s="656">
        <f t="shared" ca="1" si="7"/>
        <v>101.63029696572698</v>
      </c>
      <c r="U32" s="656">
        <f t="shared" ca="1" si="7"/>
        <v>135.0599891219095</v>
      </c>
      <c r="V32" s="656">
        <f t="shared" ca="1" si="7"/>
        <v>123.87348863658231</v>
      </c>
      <c r="W32" s="656">
        <f t="shared" ca="1" si="7"/>
        <v>96.236593103206303</v>
      </c>
      <c r="X32" s="656">
        <f t="shared" ca="1" si="7"/>
        <v>134.94152732025273</v>
      </c>
      <c r="Y32" s="656">
        <f t="shared" ca="1" si="7"/>
        <v>89.343805236401124</v>
      </c>
      <c r="Z32" s="656">
        <f t="shared" ca="1" si="7"/>
        <v>117.1224241280725</v>
      </c>
      <c r="AA32" s="656">
        <f t="shared" ca="1" si="7"/>
        <v>98.134236652283846</v>
      </c>
      <c r="AB32" s="656">
        <f t="shared" ca="1" si="7"/>
        <v>57.135209180033996</v>
      </c>
      <c r="AC32" s="656">
        <f t="shared" ca="1" si="7"/>
        <v>82.684052210456059</v>
      </c>
      <c r="AD32" s="656">
        <f t="shared" ca="1" si="7"/>
        <v>43.476759526235838</v>
      </c>
      <c r="AE32" s="656">
        <f t="shared" ca="1" si="7"/>
        <v>50.742349903254294</v>
      </c>
      <c r="AF32" s="656">
        <f t="shared" ca="1" si="7"/>
        <v>0</v>
      </c>
      <c r="AG32" s="656">
        <f t="shared" ca="1" si="7"/>
        <v>0</v>
      </c>
      <c r="AH32" s="657">
        <f t="shared" ca="1" si="7"/>
        <v>0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2:104" x14ac:dyDescent="0.3">
      <c r="B33" s="410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118"/>
      <c r="AH33" s="118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2:104" x14ac:dyDescent="0.3">
      <c r="B34" s="119" t="s">
        <v>5</v>
      </c>
      <c r="C34" s="1"/>
      <c r="D34" s="11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2:104" x14ac:dyDescent="0.3">
      <c r="B35" s="120" t="s">
        <v>25</v>
      </c>
    </row>
    <row r="36" spans="2:104" x14ac:dyDescent="0.3">
      <c r="B36" s="121" t="s">
        <v>7</v>
      </c>
    </row>
    <row r="37" spans="2:104" x14ac:dyDescent="0.3">
      <c r="B37" s="122" t="s">
        <v>9</v>
      </c>
    </row>
    <row r="38" spans="2:104" x14ac:dyDescent="0.3">
      <c r="B38" s="123" t="s">
        <v>11</v>
      </c>
    </row>
    <row r="47" spans="2:104" x14ac:dyDescent="0.3">
      <c r="N47" s="19" t="s">
        <v>500</v>
      </c>
    </row>
    <row r="50" spans="2:54" ht="21" x14ac:dyDescent="0.4">
      <c r="B50" s="636" t="s">
        <v>483</v>
      </c>
    </row>
    <row r="51" spans="2:54" x14ac:dyDescent="0.3">
      <c r="B51" s="211" t="s">
        <v>473</v>
      </c>
    </row>
    <row r="52" spans="2:54" x14ac:dyDescent="0.3">
      <c r="B52" s="211" t="s">
        <v>475</v>
      </c>
    </row>
    <row r="53" spans="2:54" x14ac:dyDescent="0.3">
      <c r="B53" s="211" t="s">
        <v>474</v>
      </c>
    </row>
    <row r="54" spans="2:54" x14ac:dyDescent="0.3">
      <c r="C54" s="155">
        <v>2021</v>
      </c>
      <c r="D54" s="156">
        <v>2022</v>
      </c>
      <c r="E54" s="156">
        <v>2023</v>
      </c>
      <c r="F54" s="156">
        <v>2024</v>
      </c>
      <c r="G54" s="156">
        <v>2025</v>
      </c>
      <c r="H54" s="156">
        <v>2026</v>
      </c>
      <c r="I54" s="156">
        <v>2027</v>
      </c>
      <c r="J54" s="156">
        <v>2028</v>
      </c>
      <c r="K54" s="156">
        <v>2029</v>
      </c>
      <c r="L54" s="156">
        <v>2030</v>
      </c>
      <c r="M54" s="156">
        <v>2031</v>
      </c>
      <c r="N54" s="156">
        <v>2032</v>
      </c>
      <c r="O54" s="156">
        <v>2033</v>
      </c>
      <c r="P54" s="156">
        <v>2034</v>
      </c>
      <c r="Q54" s="156">
        <v>2035</v>
      </c>
      <c r="R54" s="156">
        <v>2036</v>
      </c>
      <c r="S54" s="156">
        <v>2037</v>
      </c>
      <c r="T54" s="156">
        <v>2038</v>
      </c>
      <c r="U54" s="156">
        <v>2039</v>
      </c>
      <c r="V54" s="156">
        <v>2040</v>
      </c>
      <c r="W54" s="156">
        <v>2041</v>
      </c>
      <c r="X54" s="156">
        <v>2042</v>
      </c>
      <c r="Y54" s="156">
        <v>2043</v>
      </c>
      <c r="Z54" s="156">
        <v>2044</v>
      </c>
      <c r="AA54" s="156">
        <v>2045</v>
      </c>
      <c r="AB54" s="156">
        <v>2046</v>
      </c>
      <c r="AC54" s="156">
        <v>2047</v>
      </c>
      <c r="AD54" s="156">
        <v>2048</v>
      </c>
      <c r="AE54" s="156">
        <v>2049</v>
      </c>
      <c r="AF54" s="157">
        <v>2050</v>
      </c>
      <c r="AG54" s="157">
        <v>2051</v>
      </c>
      <c r="AH54" s="157">
        <v>2052</v>
      </c>
      <c r="AI54" s="156">
        <v>2053</v>
      </c>
      <c r="AJ54" s="157">
        <v>2054</v>
      </c>
      <c r="AK54" s="156">
        <v>2055</v>
      </c>
      <c r="AL54" s="157">
        <v>2056</v>
      </c>
      <c r="AM54" s="156">
        <v>2057</v>
      </c>
      <c r="AN54" s="157">
        <v>2058</v>
      </c>
      <c r="AO54" s="156">
        <v>2059</v>
      </c>
      <c r="AP54" s="157">
        <v>2060</v>
      </c>
      <c r="AQ54" s="156">
        <v>2061</v>
      </c>
      <c r="AR54" s="157">
        <v>2062</v>
      </c>
      <c r="AS54" s="156">
        <v>2063</v>
      </c>
      <c r="AT54" s="157">
        <v>2064</v>
      </c>
      <c r="AU54" s="156">
        <v>2065</v>
      </c>
      <c r="AV54" s="157">
        <v>2066</v>
      </c>
      <c r="AW54" s="156">
        <v>2067</v>
      </c>
      <c r="AX54" s="157">
        <v>2068</v>
      </c>
      <c r="AY54" s="156">
        <v>2069</v>
      </c>
      <c r="AZ54" s="157">
        <v>2070</v>
      </c>
      <c r="BA54" s="156">
        <v>2071</v>
      </c>
      <c r="BB54" s="157">
        <v>2072</v>
      </c>
    </row>
    <row r="55" spans="2:54" x14ac:dyDescent="0.3">
      <c r="B55" s="28">
        <v>2021</v>
      </c>
      <c r="C55" s="179">
        <f t="shared" ref="C55:L64" si="8">CHOOSE(IF(C$54&lt;$B55,1,IF(C$2&gt;=$B55+lifetime, 3, 2)), 0, INDEX($C$6:$AH$6,MATCH(MIN(MAX($C$2:$AH$2),$B55+INT((C$54-$B55)/lifetime)*lifetime),$C$2:$AH$2)), INDEX($C$7:$AH$7,MATCH($B55,$C$2:$AF$2,0)))</f>
        <v>130.43</v>
      </c>
      <c r="D55" s="180">
        <f t="shared" si="8"/>
        <v>130.43</v>
      </c>
      <c r="E55" s="180">
        <f t="shared" si="8"/>
        <v>130.43</v>
      </c>
      <c r="F55" s="180">
        <f t="shared" si="8"/>
        <v>130.43</v>
      </c>
      <c r="G55" s="180">
        <f t="shared" si="8"/>
        <v>130.43</v>
      </c>
      <c r="H55" s="180">
        <f t="shared" si="8"/>
        <v>130.43</v>
      </c>
      <c r="I55" s="180">
        <f t="shared" si="8"/>
        <v>130.43</v>
      </c>
      <c r="J55" s="180">
        <f t="shared" si="8"/>
        <v>130.43</v>
      </c>
      <c r="K55" s="180">
        <f t="shared" si="8"/>
        <v>130.43</v>
      </c>
      <c r="L55" s="180">
        <f t="shared" si="8"/>
        <v>130.43</v>
      </c>
      <c r="M55" s="180">
        <f t="shared" ref="M55:V64" si="9">CHOOSE(IF(M$54&lt;$B55,1,IF(M$2&gt;=$B55+lifetime, 3, 2)), 0, INDEX($C$6:$AH$6,MATCH(MIN(MAX($C$2:$AH$2),$B55+INT((M$54-$B55)/lifetime)*lifetime),$C$2:$AH$2)), INDEX($C$7:$AH$7,MATCH($B55,$C$2:$AF$2,0)))</f>
        <v>130.43</v>
      </c>
      <c r="N55" s="180">
        <f t="shared" si="9"/>
        <v>130.43</v>
      </c>
      <c r="O55" s="180">
        <f t="shared" si="9"/>
        <v>130.43</v>
      </c>
      <c r="P55" s="180">
        <f t="shared" si="9"/>
        <v>130.43</v>
      </c>
      <c r="Q55" s="180">
        <f t="shared" si="9"/>
        <v>130.43</v>
      </c>
      <c r="R55" s="180">
        <f t="shared" si="9"/>
        <v>130.43</v>
      </c>
      <c r="S55" s="180">
        <f t="shared" si="9"/>
        <v>130.43</v>
      </c>
      <c r="T55" s="180">
        <f t="shared" si="9"/>
        <v>130.43</v>
      </c>
      <c r="U55" s="180">
        <f t="shared" si="9"/>
        <v>130.43</v>
      </c>
      <c r="V55" s="180">
        <f t="shared" si="9"/>
        <v>130.43</v>
      </c>
      <c r="W55" s="180">
        <f t="shared" ref="W55:AF64" si="10">CHOOSE(IF(W$54&lt;$B55,1,IF(W$2&gt;=$B55+lifetime, 3, 2)), 0, INDEX($C$6:$AH$6,MATCH(MIN(MAX($C$2:$AH$2),$B55+INT((W$54-$B55)/lifetime)*lifetime),$C$2:$AH$2)), INDEX($C$7:$AH$7,MATCH($B55,$C$2:$AF$2,0)))</f>
        <v>65.66</v>
      </c>
      <c r="X55" s="180">
        <f t="shared" si="10"/>
        <v>65.66</v>
      </c>
      <c r="Y55" s="180">
        <f t="shared" si="10"/>
        <v>65.66</v>
      </c>
      <c r="Z55" s="180">
        <f t="shared" si="10"/>
        <v>65.66</v>
      </c>
      <c r="AA55" s="180">
        <f t="shared" si="10"/>
        <v>65.66</v>
      </c>
      <c r="AB55" s="180">
        <f t="shared" si="10"/>
        <v>65.66</v>
      </c>
      <c r="AC55" s="180">
        <f t="shared" si="10"/>
        <v>65.66</v>
      </c>
      <c r="AD55" s="180">
        <f t="shared" si="10"/>
        <v>65.66</v>
      </c>
      <c r="AE55" s="180">
        <f t="shared" si="10"/>
        <v>65.66</v>
      </c>
      <c r="AF55" s="180">
        <f t="shared" si="10"/>
        <v>65.66</v>
      </c>
      <c r="AG55" s="180">
        <f t="shared" ref="AG55:AP64" si="11">CHOOSE(IF(AG$54&lt;$B55,1,IF(AG$2&gt;=$B55+lifetime, 3, 2)), 0, INDEX($C$6:$AH$6,MATCH(MIN(MAX($C$2:$AH$2),$B55+INT((AG$54-$B55)/lifetime)*lifetime),$C$2:$AH$2)), INDEX($C$7:$AH$7,MATCH($B55,$C$2:$AF$2,0)))</f>
        <v>65.66</v>
      </c>
      <c r="AH55" s="180">
        <f t="shared" si="11"/>
        <v>65.66</v>
      </c>
      <c r="AI55" s="181">
        <f t="shared" si="11"/>
        <v>65.66</v>
      </c>
      <c r="AJ55" s="181">
        <f t="shared" si="11"/>
        <v>65.66</v>
      </c>
      <c r="AK55" s="181">
        <f t="shared" si="11"/>
        <v>65.66</v>
      </c>
      <c r="AL55" s="181">
        <f t="shared" si="11"/>
        <v>65.66</v>
      </c>
      <c r="AM55" s="181">
        <f t="shared" si="11"/>
        <v>65.66</v>
      </c>
      <c r="AN55" s="181">
        <f t="shared" si="11"/>
        <v>65.66</v>
      </c>
      <c r="AO55" s="181">
        <f t="shared" si="11"/>
        <v>65.66</v>
      </c>
      <c r="AP55" s="181">
        <f t="shared" si="11"/>
        <v>65.66</v>
      </c>
      <c r="AQ55" s="181">
        <f t="shared" ref="AQ55:BB64" si="12">CHOOSE(IF(AQ$54&lt;$B55,1,IF(AQ$2&gt;=$B55+lifetime, 3, 2)), 0, INDEX($C$6:$AH$6,MATCH(MIN(MAX($C$2:$AH$2),$B55+INT((AQ$54-$B55)/lifetime)*lifetime),$C$2:$AH$2)), INDEX($C$7:$AH$7,MATCH($B55,$C$2:$AF$2,0)))</f>
        <v>59.42</v>
      </c>
      <c r="AR55" s="181">
        <f t="shared" si="12"/>
        <v>59.42</v>
      </c>
      <c r="AS55" s="181">
        <f t="shared" si="12"/>
        <v>59.42</v>
      </c>
      <c r="AT55" s="181">
        <f t="shared" si="12"/>
        <v>59.42</v>
      </c>
      <c r="AU55" s="181">
        <f t="shared" si="12"/>
        <v>59.42</v>
      </c>
      <c r="AV55" s="181">
        <f t="shared" si="12"/>
        <v>59.42</v>
      </c>
      <c r="AW55" s="181">
        <f t="shared" si="12"/>
        <v>59.42</v>
      </c>
      <c r="AX55" s="181">
        <f t="shared" si="12"/>
        <v>59.42</v>
      </c>
      <c r="AY55" s="181">
        <f t="shared" si="12"/>
        <v>59.42</v>
      </c>
      <c r="AZ55" s="181">
        <f t="shared" si="12"/>
        <v>59.42</v>
      </c>
      <c r="BA55" s="181">
        <f t="shared" si="12"/>
        <v>59.42</v>
      </c>
      <c r="BB55" s="182">
        <f t="shared" si="12"/>
        <v>59.42</v>
      </c>
    </row>
    <row r="56" spans="2:54" x14ac:dyDescent="0.3">
      <c r="B56" s="28">
        <v>2022</v>
      </c>
      <c r="C56" s="179">
        <f t="shared" si="8"/>
        <v>0</v>
      </c>
      <c r="D56" s="180">
        <f t="shared" si="8"/>
        <v>120.39000000000001</v>
      </c>
      <c r="E56" s="180">
        <f t="shared" si="8"/>
        <v>120.39000000000001</v>
      </c>
      <c r="F56" s="180">
        <f t="shared" si="8"/>
        <v>120.39000000000001</v>
      </c>
      <c r="G56" s="180">
        <f t="shared" si="8"/>
        <v>120.39000000000001</v>
      </c>
      <c r="H56" s="180">
        <f t="shared" si="8"/>
        <v>120.39000000000001</v>
      </c>
      <c r="I56" s="180">
        <f t="shared" si="8"/>
        <v>120.39000000000001</v>
      </c>
      <c r="J56" s="180">
        <f t="shared" si="8"/>
        <v>120.39000000000001</v>
      </c>
      <c r="K56" s="180">
        <f t="shared" si="8"/>
        <v>120.39000000000001</v>
      </c>
      <c r="L56" s="180">
        <f t="shared" si="8"/>
        <v>120.39000000000001</v>
      </c>
      <c r="M56" s="180">
        <f t="shared" si="9"/>
        <v>120.39000000000001</v>
      </c>
      <c r="N56" s="180">
        <f t="shared" si="9"/>
        <v>120.39000000000001</v>
      </c>
      <c r="O56" s="180">
        <f t="shared" si="9"/>
        <v>120.39000000000001</v>
      </c>
      <c r="P56" s="180">
        <f t="shared" si="9"/>
        <v>120.39000000000001</v>
      </c>
      <c r="Q56" s="180">
        <f t="shared" si="9"/>
        <v>120.39000000000001</v>
      </c>
      <c r="R56" s="180">
        <f t="shared" si="9"/>
        <v>120.39000000000001</v>
      </c>
      <c r="S56" s="180">
        <f t="shared" si="9"/>
        <v>120.39000000000001</v>
      </c>
      <c r="T56" s="180">
        <f t="shared" si="9"/>
        <v>120.39000000000001</v>
      </c>
      <c r="U56" s="180">
        <f t="shared" si="9"/>
        <v>120.39000000000001</v>
      </c>
      <c r="V56" s="180">
        <f t="shared" si="9"/>
        <v>120.39000000000001</v>
      </c>
      <c r="W56" s="180">
        <f t="shared" si="10"/>
        <v>120.39000000000001</v>
      </c>
      <c r="X56" s="180">
        <f t="shared" si="10"/>
        <v>65.239999999999995</v>
      </c>
      <c r="Y56" s="180">
        <f t="shared" si="10"/>
        <v>65.239999999999995</v>
      </c>
      <c r="Z56" s="180">
        <f t="shared" si="10"/>
        <v>65.239999999999995</v>
      </c>
      <c r="AA56" s="180">
        <f t="shared" si="10"/>
        <v>65.239999999999995</v>
      </c>
      <c r="AB56" s="180">
        <f t="shared" si="10"/>
        <v>65.239999999999995</v>
      </c>
      <c r="AC56" s="180">
        <f t="shared" si="10"/>
        <v>65.239999999999995</v>
      </c>
      <c r="AD56" s="180">
        <f t="shared" si="10"/>
        <v>65.239999999999995</v>
      </c>
      <c r="AE56" s="180">
        <f t="shared" si="10"/>
        <v>65.239999999999995</v>
      </c>
      <c r="AF56" s="180">
        <f t="shared" si="10"/>
        <v>65.239999999999995</v>
      </c>
      <c r="AG56" s="180">
        <f t="shared" si="11"/>
        <v>65.239999999999995</v>
      </c>
      <c r="AH56" s="180">
        <f t="shared" si="11"/>
        <v>65.239999999999995</v>
      </c>
      <c r="AI56" s="181">
        <f t="shared" si="11"/>
        <v>65.239999999999995</v>
      </c>
      <c r="AJ56" s="181">
        <f t="shared" si="11"/>
        <v>65.239999999999995</v>
      </c>
      <c r="AK56" s="181">
        <f t="shared" si="11"/>
        <v>65.239999999999995</v>
      </c>
      <c r="AL56" s="181">
        <f t="shared" si="11"/>
        <v>65.239999999999995</v>
      </c>
      <c r="AM56" s="181">
        <f t="shared" si="11"/>
        <v>65.239999999999995</v>
      </c>
      <c r="AN56" s="181">
        <f t="shared" si="11"/>
        <v>65.239999999999995</v>
      </c>
      <c r="AO56" s="181">
        <f t="shared" si="11"/>
        <v>65.239999999999995</v>
      </c>
      <c r="AP56" s="181">
        <f t="shared" si="11"/>
        <v>65.239999999999995</v>
      </c>
      <c r="AQ56" s="181">
        <f t="shared" si="12"/>
        <v>65.239999999999995</v>
      </c>
      <c r="AR56" s="181">
        <f t="shared" si="12"/>
        <v>59.42</v>
      </c>
      <c r="AS56" s="181">
        <f t="shared" si="12"/>
        <v>59.42</v>
      </c>
      <c r="AT56" s="181">
        <f>CHOOSE(IF(AT$54&lt;$B56,1,IF(AT$2&gt;=$B56+lifetime, 3, 2)), 0, INDEX($C$6:$AH$6,MATCH(MIN(MAX($C$2:$AH$2),$B56+INT((AT$54-$B56)/lifetime)*lifetime),$C$2:$AH$2)), INDEX($C$7:$AH$7,MATCH($B56,$C$2:$AF$2,0)))</f>
        <v>59.42</v>
      </c>
      <c r="AU56" s="181">
        <f t="shared" si="12"/>
        <v>59.42</v>
      </c>
      <c r="AV56" s="181">
        <f t="shared" si="12"/>
        <v>59.42</v>
      </c>
      <c r="AW56" s="181">
        <f t="shared" si="12"/>
        <v>59.42</v>
      </c>
      <c r="AX56" s="181">
        <f t="shared" si="12"/>
        <v>59.42</v>
      </c>
      <c r="AY56" s="181">
        <f t="shared" si="12"/>
        <v>59.42</v>
      </c>
      <c r="AZ56" s="181">
        <f t="shared" si="12"/>
        <v>59.42</v>
      </c>
      <c r="BA56" s="181">
        <f t="shared" si="12"/>
        <v>59.42</v>
      </c>
      <c r="BB56" s="182">
        <f t="shared" si="12"/>
        <v>59.42</v>
      </c>
    </row>
    <row r="57" spans="2:54" x14ac:dyDescent="0.3">
      <c r="B57" s="28">
        <v>2023</v>
      </c>
      <c r="C57" s="179">
        <f t="shared" si="8"/>
        <v>0</v>
      </c>
      <c r="D57" s="180">
        <f t="shared" si="8"/>
        <v>0</v>
      </c>
      <c r="E57" s="180">
        <f t="shared" si="8"/>
        <v>107.77</v>
      </c>
      <c r="F57" s="180">
        <f t="shared" si="8"/>
        <v>107.77</v>
      </c>
      <c r="G57" s="180">
        <f t="shared" si="8"/>
        <v>107.77</v>
      </c>
      <c r="H57" s="180">
        <f t="shared" si="8"/>
        <v>107.77</v>
      </c>
      <c r="I57" s="180">
        <f t="shared" si="8"/>
        <v>107.77</v>
      </c>
      <c r="J57" s="180">
        <f t="shared" si="8"/>
        <v>107.77</v>
      </c>
      <c r="K57" s="180">
        <f t="shared" si="8"/>
        <v>107.77</v>
      </c>
      <c r="L57" s="180">
        <f t="shared" si="8"/>
        <v>107.77</v>
      </c>
      <c r="M57" s="180">
        <f t="shared" si="9"/>
        <v>107.77</v>
      </c>
      <c r="N57" s="180">
        <f t="shared" si="9"/>
        <v>107.77</v>
      </c>
      <c r="O57" s="180">
        <f t="shared" si="9"/>
        <v>107.77</v>
      </c>
      <c r="P57" s="180">
        <f t="shared" si="9"/>
        <v>107.77</v>
      </c>
      <c r="Q57" s="180">
        <f t="shared" si="9"/>
        <v>107.77</v>
      </c>
      <c r="R57" s="180">
        <f t="shared" si="9"/>
        <v>107.77</v>
      </c>
      <c r="S57" s="180">
        <f t="shared" si="9"/>
        <v>107.77</v>
      </c>
      <c r="T57" s="180">
        <f t="shared" si="9"/>
        <v>107.77</v>
      </c>
      <c r="U57" s="180">
        <f t="shared" si="9"/>
        <v>107.77</v>
      </c>
      <c r="V57" s="180">
        <f t="shared" si="9"/>
        <v>107.77</v>
      </c>
      <c r="W57" s="180">
        <f t="shared" si="10"/>
        <v>107.77</v>
      </c>
      <c r="X57" s="180">
        <f t="shared" si="10"/>
        <v>107.77</v>
      </c>
      <c r="Y57" s="180">
        <f t="shared" si="10"/>
        <v>64.37</v>
      </c>
      <c r="Z57" s="180">
        <f t="shared" si="10"/>
        <v>64.37</v>
      </c>
      <c r="AA57" s="180">
        <f t="shared" si="10"/>
        <v>64.37</v>
      </c>
      <c r="AB57" s="180">
        <f t="shared" si="10"/>
        <v>64.37</v>
      </c>
      <c r="AC57" s="180">
        <f t="shared" si="10"/>
        <v>64.37</v>
      </c>
      <c r="AD57" s="180">
        <f t="shared" si="10"/>
        <v>64.37</v>
      </c>
      <c r="AE57" s="180">
        <f t="shared" si="10"/>
        <v>64.37</v>
      </c>
      <c r="AF57" s="180">
        <f t="shared" si="10"/>
        <v>64.37</v>
      </c>
      <c r="AG57" s="180">
        <f t="shared" si="11"/>
        <v>64.37</v>
      </c>
      <c r="AH57" s="180">
        <f t="shared" si="11"/>
        <v>64.37</v>
      </c>
      <c r="AI57" s="181">
        <f t="shared" si="11"/>
        <v>64.37</v>
      </c>
      <c r="AJ57" s="181">
        <f>CHOOSE(IF(AJ$54&lt;$B57,1,IF(AJ$2&gt;=$B57+lifetime, 3, 2)), 0, INDEX($C$6:$AH$6,MATCH(MIN(MAX($C$2:$AH$2),$B57+INT((AJ$54-$B57)/lifetime)*lifetime),$C$2:$AH$2)), INDEX($C$7:$AH$7,MATCH($B57,$C$2:$AF$2,0)))</f>
        <v>64.37</v>
      </c>
      <c r="AK57" s="181">
        <f t="shared" si="11"/>
        <v>64.37</v>
      </c>
      <c r="AL57" s="181">
        <f t="shared" si="11"/>
        <v>64.37</v>
      </c>
      <c r="AM57" s="181">
        <f t="shared" si="11"/>
        <v>64.37</v>
      </c>
      <c r="AN57" s="181">
        <f t="shared" si="11"/>
        <v>64.37</v>
      </c>
      <c r="AO57" s="181">
        <f t="shared" si="11"/>
        <v>64.37</v>
      </c>
      <c r="AP57" s="181">
        <f t="shared" si="11"/>
        <v>64.37</v>
      </c>
      <c r="AQ57" s="181">
        <f t="shared" si="12"/>
        <v>64.37</v>
      </c>
      <c r="AR57" s="181">
        <f t="shared" si="12"/>
        <v>64.37</v>
      </c>
      <c r="AS57" s="181">
        <f t="shared" si="12"/>
        <v>59.42</v>
      </c>
      <c r="AT57" s="181">
        <f t="shared" si="12"/>
        <v>59.42</v>
      </c>
      <c r="AU57" s="181">
        <f t="shared" si="12"/>
        <v>59.42</v>
      </c>
      <c r="AV57" s="181">
        <f t="shared" si="12"/>
        <v>59.42</v>
      </c>
      <c r="AW57" s="181">
        <f t="shared" si="12"/>
        <v>59.42</v>
      </c>
      <c r="AX57" s="181">
        <f t="shared" si="12"/>
        <v>59.42</v>
      </c>
      <c r="AY57" s="181">
        <f t="shared" si="12"/>
        <v>59.42</v>
      </c>
      <c r="AZ57" s="181">
        <f t="shared" si="12"/>
        <v>59.42</v>
      </c>
      <c r="BA57" s="181">
        <f t="shared" si="12"/>
        <v>59.42</v>
      </c>
      <c r="BB57" s="182">
        <f t="shared" si="12"/>
        <v>59.42</v>
      </c>
    </row>
    <row r="58" spans="2:54" x14ac:dyDescent="0.3">
      <c r="B58" s="28">
        <v>2024</v>
      </c>
      <c r="C58" s="179">
        <f t="shared" si="8"/>
        <v>0</v>
      </c>
      <c r="D58" s="180">
        <f t="shared" si="8"/>
        <v>0</v>
      </c>
      <c r="E58" s="180">
        <f t="shared" si="8"/>
        <v>0</v>
      </c>
      <c r="F58" s="180">
        <f t="shared" si="8"/>
        <v>99.76</v>
      </c>
      <c r="G58" s="180">
        <f t="shared" si="8"/>
        <v>99.76</v>
      </c>
      <c r="H58" s="180">
        <f t="shared" si="8"/>
        <v>99.76</v>
      </c>
      <c r="I58" s="180">
        <f t="shared" si="8"/>
        <v>99.76</v>
      </c>
      <c r="J58" s="180">
        <f t="shared" si="8"/>
        <v>99.76</v>
      </c>
      <c r="K58" s="180">
        <f t="shared" si="8"/>
        <v>99.76</v>
      </c>
      <c r="L58" s="180">
        <f t="shared" si="8"/>
        <v>99.76</v>
      </c>
      <c r="M58" s="180">
        <f t="shared" si="9"/>
        <v>99.76</v>
      </c>
      <c r="N58" s="180">
        <f t="shared" si="9"/>
        <v>99.76</v>
      </c>
      <c r="O58" s="180">
        <f t="shared" si="9"/>
        <v>99.76</v>
      </c>
      <c r="P58" s="180">
        <f t="shared" si="9"/>
        <v>99.76</v>
      </c>
      <c r="Q58" s="180">
        <f t="shared" si="9"/>
        <v>99.76</v>
      </c>
      <c r="R58" s="180">
        <f t="shared" si="9"/>
        <v>99.76</v>
      </c>
      <c r="S58" s="180">
        <f t="shared" si="9"/>
        <v>99.76</v>
      </c>
      <c r="T58" s="180">
        <f t="shared" si="9"/>
        <v>99.76</v>
      </c>
      <c r="U58" s="180">
        <f t="shared" si="9"/>
        <v>99.76</v>
      </c>
      <c r="V58" s="180">
        <f t="shared" si="9"/>
        <v>99.76</v>
      </c>
      <c r="W58" s="180">
        <f t="shared" si="10"/>
        <v>99.76</v>
      </c>
      <c r="X58" s="180">
        <f t="shared" si="10"/>
        <v>99.76</v>
      </c>
      <c r="Y58" s="180">
        <f t="shared" si="10"/>
        <v>99.76</v>
      </c>
      <c r="Z58" s="180">
        <f t="shared" si="10"/>
        <v>63.94</v>
      </c>
      <c r="AA58" s="180">
        <f t="shared" si="10"/>
        <v>63.94</v>
      </c>
      <c r="AB58" s="180">
        <f t="shared" si="10"/>
        <v>63.94</v>
      </c>
      <c r="AC58" s="180">
        <f t="shared" si="10"/>
        <v>63.94</v>
      </c>
      <c r="AD58" s="180">
        <f t="shared" si="10"/>
        <v>63.94</v>
      </c>
      <c r="AE58" s="180">
        <f t="shared" si="10"/>
        <v>63.94</v>
      </c>
      <c r="AF58" s="180">
        <f t="shared" si="10"/>
        <v>63.94</v>
      </c>
      <c r="AG58" s="180">
        <f t="shared" si="11"/>
        <v>63.94</v>
      </c>
      <c r="AH58" s="180">
        <f t="shared" si="11"/>
        <v>63.94</v>
      </c>
      <c r="AI58" s="181">
        <f t="shared" si="11"/>
        <v>63.94</v>
      </c>
      <c r="AJ58" s="181">
        <f t="shared" si="11"/>
        <v>63.94</v>
      </c>
      <c r="AK58" s="181">
        <f t="shared" si="11"/>
        <v>63.94</v>
      </c>
      <c r="AL58" s="181">
        <f t="shared" si="11"/>
        <v>63.94</v>
      </c>
      <c r="AM58" s="181">
        <f t="shared" si="11"/>
        <v>63.94</v>
      </c>
      <c r="AN58" s="181">
        <f t="shared" si="11"/>
        <v>63.94</v>
      </c>
      <c r="AO58" s="181">
        <f t="shared" si="11"/>
        <v>63.94</v>
      </c>
      <c r="AP58" s="181">
        <f t="shared" si="11"/>
        <v>63.94</v>
      </c>
      <c r="AQ58" s="181">
        <f t="shared" si="12"/>
        <v>63.94</v>
      </c>
      <c r="AR58" s="181">
        <f t="shared" si="12"/>
        <v>63.94</v>
      </c>
      <c r="AS58" s="181">
        <f t="shared" si="12"/>
        <v>63.94</v>
      </c>
      <c r="AT58" s="181">
        <f t="shared" si="12"/>
        <v>59.42</v>
      </c>
      <c r="AU58" s="181">
        <f t="shared" si="12"/>
        <v>59.42</v>
      </c>
      <c r="AV58" s="181">
        <f t="shared" si="12"/>
        <v>59.42</v>
      </c>
      <c r="AW58" s="181">
        <f t="shared" si="12"/>
        <v>59.42</v>
      </c>
      <c r="AX58" s="181">
        <f t="shared" si="12"/>
        <v>59.42</v>
      </c>
      <c r="AY58" s="181">
        <f t="shared" si="12"/>
        <v>59.42</v>
      </c>
      <c r="AZ58" s="181">
        <f t="shared" si="12"/>
        <v>59.42</v>
      </c>
      <c r="BA58" s="181">
        <f t="shared" si="12"/>
        <v>59.42</v>
      </c>
      <c r="BB58" s="182">
        <f t="shared" si="12"/>
        <v>59.42</v>
      </c>
    </row>
    <row r="59" spans="2:54" x14ac:dyDescent="0.3">
      <c r="B59" s="28">
        <v>2025</v>
      </c>
      <c r="C59" s="179">
        <f t="shared" si="8"/>
        <v>0</v>
      </c>
      <c r="D59" s="180">
        <f t="shared" si="8"/>
        <v>0</v>
      </c>
      <c r="E59" s="180">
        <f t="shared" si="8"/>
        <v>0</v>
      </c>
      <c r="F59" s="180">
        <f t="shared" si="8"/>
        <v>0</v>
      </c>
      <c r="G59" s="180">
        <f t="shared" si="8"/>
        <v>93.580000000000013</v>
      </c>
      <c r="H59" s="180">
        <f t="shared" si="8"/>
        <v>93.580000000000013</v>
      </c>
      <c r="I59" s="180">
        <f t="shared" si="8"/>
        <v>93.580000000000013</v>
      </c>
      <c r="J59" s="180">
        <f t="shared" si="8"/>
        <v>93.580000000000013</v>
      </c>
      <c r="K59" s="180">
        <f t="shared" si="8"/>
        <v>93.580000000000013</v>
      </c>
      <c r="L59" s="180">
        <f t="shared" si="8"/>
        <v>93.580000000000013</v>
      </c>
      <c r="M59" s="180">
        <f t="shared" si="9"/>
        <v>93.580000000000013</v>
      </c>
      <c r="N59" s="180">
        <f t="shared" si="9"/>
        <v>93.580000000000013</v>
      </c>
      <c r="O59" s="180">
        <f t="shared" si="9"/>
        <v>93.580000000000013</v>
      </c>
      <c r="P59" s="180">
        <f t="shared" si="9"/>
        <v>93.580000000000013</v>
      </c>
      <c r="Q59" s="180">
        <f t="shared" si="9"/>
        <v>93.580000000000013</v>
      </c>
      <c r="R59" s="180">
        <f t="shared" si="9"/>
        <v>93.580000000000013</v>
      </c>
      <c r="S59" s="180">
        <f t="shared" si="9"/>
        <v>93.580000000000013</v>
      </c>
      <c r="T59" s="180">
        <f t="shared" si="9"/>
        <v>93.580000000000013</v>
      </c>
      <c r="U59" s="180">
        <f t="shared" si="9"/>
        <v>93.580000000000013</v>
      </c>
      <c r="V59" s="180">
        <f t="shared" si="9"/>
        <v>93.580000000000013</v>
      </c>
      <c r="W59" s="180">
        <f t="shared" si="10"/>
        <v>93.580000000000013</v>
      </c>
      <c r="X59" s="180">
        <f t="shared" si="10"/>
        <v>93.580000000000013</v>
      </c>
      <c r="Y59" s="180">
        <f t="shared" si="10"/>
        <v>93.580000000000013</v>
      </c>
      <c r="Z59" s="180">
        <f t="shared" si="10"/>
        <v>93.580000000000013</v>
      </c>
      <c r="AA59" s="180">
        <f t="shared" si="10"/>
        <v>63.12</v>
      </c>
      <c r="AB59" s="180">
        <f t="shared" si="10"/>
        <v>63.12</v>
      </c>
      <c r="AC59" s="180">
        <f t="shared" si="10"/>
        <v>63.12</v>
      </c>
      <c r="AD59" s="180">
        <f t="shared" si="10"/>
        <v>63.12</v>
      </c>
      <c r="AE59" s="180">
        <f t="shared" si="10"/>
        <v>63.12</v>
      </c>
      <c r="AF59" s="180">
        <f t="shared" si="10"/>
        <v>63.12</v>
      </c>
      <c r="AG59" s="180">
        <f t="shared" si="11"/>
        <v>63.12</v>
      </c>
      <c r="AH59" s="180">
        <f t="shared" si="11"/>
        <v>63.12</v>
      </c>
      <c r="AI59" s="181">
        <f t="shared" si="11"/>
        <v>63.12</v>
      </c>
      <c r="AJ59" s="181">
        <f t="shared" si="11"/>
        <v>63.12</v>
      </c>
      <c r="AK59" s="181">
        <f t="shared" si="11"/>
        <v>63.12</v>
      </c>
      <c r="AL59" s="181">
        <f t="shared" si="11"/>
        <v>63.12</v>
      </c>
      <c r="AM59" s="181">
        <f t="shared" si="11"/>
        <v>63.12</v>
      </c>
      <c r="AN59" s="181">
        <f t="shared" si="11"/>
        <v>63.12</v>
      </c>
      <c r="AO59" s="181">
        <f t="shared" si="11"/>
        <v>63.12</v>
      </c>
      <c r="AP59" s="181">
        <f t="shared" si="11"/>
        <v>63.12</v>
      </c>
      <c r="AQ59" s="181">
        <f t="shared" si="12"/>
        <v>63.12</v>
      </c>
      <c r="AR59" s="181">
        <f t="shared" si="12"/>
        <v>63.12</v>
      </c>
      <c r="AS59" s="181">
        <f t="shared" si="12"/>
        <v>63.12</v>
      </c>
      <c r="AT59" s="181">
        <f t="shared" si="12"/>
        <v>63.12</v>
      </c>
      <c r="AU59" s="181">
        <f t="shared" si="12"/>
        <v>59.42</v>
      </c>
      <c r="AV59" s="181">
        <f t="shared" si="12"/>
        <v>59.42</v>
      </c>
      <c r="AW59" s="181">
        <f t="shared" si="12"/>
        <v>59.42</v>
      </c>
      <c r="AX59" s="181">
        <f t="shared" si="12"/>
        <v>59.42</v>
      </c>
      <c r="AY59" s="181">
        <f t="shared" si="12"/>
        <v>59.42</v>
      </c>
      <c r="AZ59" s="181">
        <f t="shared" si="12"/>
        <v>59.42</v>
      </c>
      <c r="BA59" s="181">
        <f t="shared" si="12"/>
        <v>59.42</v>
      </c>
      <c r="BB59" s="182">
        <f t="shared" si="12"/>
        <v>59.42</v>
      </c>
    </row>
    <row r="60" spans="2:54" x14ac:dyDescent="0.3">
      <c r="B60" s="28">
        <v>2026</v>
      </c>
      <c r="C60" s="179">
        <f t="shared" si="8"/>
        <v>0</v>
      </c>
      <c r="D60" s="180">
        <f t="shared" si="8"/>
        <v>0</v>
      </c>
      <c r="E60" s="180">
        <f t="shared" si="8"/>
        <v>0</v>
      </c>
      <c r="F60" s="180">
        <f t="shared" si="8"/>
        <v>0</v>
      </c>
      <c r="G60" s="180">
        <f t="shared" si="8"/>
        <v>0</v>
      </c>
      <c r="H60" s="180">
        <f t="shared" si="8"/>
        <v>89.61</v>
      </c>
      <c r="I60" s="180">
        <f t="shared" si="8"/>
        <v>89.61</v>
      </c>
      <c r="J60" s="180">
        <f t="shared" si="8"/>
        <v>89.61</v>
      </c>
      <c r="K60" s="180">
        <f t="shared" si="8"/>
        <v>89.61</v>
      </c>
      <c r="L60" s="180">
        <f t="shared" si="8"/>
        <v>89.61</v>
      </c>
      <c r="M60" s="180">
        <f t="shared" si="9"/>
        <v>89.61</v>
      </c>
      <c r="N60" s="180">
        <f t="shared" si="9"/>
        <v>89.61</v>
      </c>
      <c r="O60" s="180">
        <f t="shared" si="9"/>
        <v>89.61</v>
      </c>
      <c r="P60" s="180">
        <f t="shared" si="9"/>
        <v>89.61</v>
      </c>
      <c r="Q60" s="180">
        <f t="shared" si="9"/>
        <v>89.61</v>
      </c>
      <c r="R60" s="180">
        <f t="shared" si="9"/>
        <v>89.61</v>
      </c>
      <c r="S60" s="180">
        <f t="shared" si="9"/>
        <v>89.61</v>
      </c>
      <c r="T60" s="180">
        <f t="shared" si="9"/>
        <v>89.61</v>
      </c>
      <c r="U60" s="180">
        <f t="shared" si="9"/>
        <v>89.61</v>
      </c>
      <c r="V60" s="180">
        <f t="shared" si="9"/>
        <v>89.61</v>
      </c>
      <c r="W60" s="180">
        <f t="shared" si="10"/>
        <v>89.61</v>
      </c>
      <c r="X60" s="180">
        <f t="shared" si="10"/>
        <v>89.61</v>
      </c>
      <c r="Y60" s="180">
        <f t="shared" si="10"/>
        <v>89.61</v>
      </c>
      <c r="Z60" s="180">
        <f t="shared" si="10"/>
        <v>89.61</v>
      </c>
      <c r="AA60" s="180">
        <f t="shared" si="10"/>
        <v>89.61</v>
      </c>
      <c r="AB60" s="180">
        <f t="shared" si="10"/>
        <v>62.290000000000006</v>
      </c>
      <c r="AC60" s="180">
        <f t="shared" si="10"/>
        <v>62.290000000000006</v>
      </c>
      <c r="AD60" s="180">
        <f t="shared" si="10"/>
        <v>62.290000000000006</v>
      </c>
      <c r="AE60" s="180">
        <f t="shared" si="10"/>
        <v>62.290000000000006</v>
      </c>
      <c r="AF60" s="180">
        <f t="shared" si="10"/>
        <v>62.290000000000006</v>
      </c>
      <c r="AG60" s="180">
        <f t="shared" si="11"/>
        <v>62.290000000000006</v>
      </c>
      <c r="AH60" s="180">
        <f t="shared" si="11"/>
        <v>62.290000000000006</v>
      </c>
      <c r="AI60" s="181">
        <f t="shared" si="11"/>
        <v>62.290000000000006</v>
      </c>
      <c r="AJ60" s="181">
        <f t="shared" si="11"/>
        <v>62.290000000000006</v>
      </c>
      <c r="AK60" s="181">
        <f t="shared" si="11"/>
        <v>62.290000000000006</v>
      </c>
      <c r="AL60" s="181">
        <f t="shared" si="11"/>
        <v>62.290000000000006</v>
      </c>
      <c r="AM60" s="181">
        <f t="shared" si="11"/>
        <v>62.290000000000006</v>
      </c>
      <c r="AN60" s="181">
        <f t="shared" si="11"/>
        <v>62.290000000000006</v>
      </c>
      <c r="AO60" s="181">
        <f t="shared" si="11"/>
        <v>62.290000000000006</v>
      </c>
      <c r="AP60" s="181">
        <f t="shared" si="11"/>
        <v>62.290000000000006</v>
      </c>
      <c r="AQ60" s="181">
        <f t="shared" si="12"/>
        <v>62.290000000000006</v>
      </c>
      <c r="AR60" s="181">
        <f t="shared" si="12"/>
        <v>62.290000000000006</v>
      </c>
      <c r="AS60" s="181">
        <f t="shared" si="12"/>
        <v>62.290000000000006</v>
      </c>
      <c r="AT60" s="181">
        <f t="shared" si="12"/>
        <v>62.290000000000006</v>
      </c>
      <c r="AU60" s="181">
        <f t="shared" si="12"/>
        <v>62.290000000000006</v>
      </c>
      <c r="AV60" s="181">
        <f t="shared" si="12"/>
        <v>59.42</v>
      </c>
      <c r="AW60" s="181">
        <f t="shared" si="12"/>
        <v>59.42</v>
      </c>
      <c r="AX60" s="181">
        <f t="shared" si="12"/>
        <v>59.42</v>
      </c>
      <c r="AY60" s="181">
        <f t="shared" si="12"/>
        <v>59.42</v>
      </c>
      <c r="AZ60" s="181">
        <f t="shared" si="12"/>
        <v>59.42</v>
      </c>
      <c r="BA60" s="181">
        <f t="shared" si="12"/>
        <v>59.42</v>
      </c>
      <c r="BB60" s="182">
        <f t="shared" si="12"/>
        <v>59.42</v>
      </c>
    </row>
    <row r="61" spans="2:54" x14ac:dyDescent="0.3">
      <c r="B61" s="28">
        <v>2027</v>
      </c>
      <c r="C61" s="179">
        <f t="shared" si="8"/>
        <v>0</v>
      </c>
      <c r="D61" s="180">
        <f t="shared" si="8"/>
        <v>0</v>
      </c>
      <c r="E61" s="180">
        <f t="shared" si="8"/>
        <v>0</v>
      </c>
      <c r="F61" s="180">
        <f t="shared" si="8"/>
        <v>0</v>
      </c>
      <c r="G61" s="180">
        <f t="shared" si="8"/>
        <v>0</v>
      </c>
      <c r="H61" s="180">
        <f t="shared" si="8"/>
        <v>0</v>
      </c>
      <c r="I61" s="180">
        <f t="shared" si="8"/>
        <v>85.63000000000001</v>
      </c>
      <c r="J61" s="180">
        <f t="shared" si="8"/>
        <v>85.63000000000001</v>
      </c>
      <c r="K61" s="180">
        <f t="shared" si="8"/>
        <v>85.63000000000001</v>
      </c>
      <c r="L61" s="180">
        <f t="shared" si="8"/>
        <v>85.63000000000001</v>
      </c>
      <c r="M61" s="180">
        <f t="shared" si="9"/>
        <v>85.63000000000001</v>
      </c>
      <c r="N61" s="180">
        <f t="shared" si="9"/>
        <v>85.63000000000001</v>
      </c>
      <c r="O61" s="180">
        <f t="shared" si="9"/>
        <v>85.63000000000001</v>
      </c>
      <c r="P61" s="180">
        <f t="shared" si="9"/>
        <v>85.63000000000001</v>
      </c>
      <c r="Q61" s="180">
        <f t="shared" si="9"/>
        <v>85.63000000000001</v>
      </c>
      <c r="R61" s="180">
        <f t="shared" si="9"/>
        <v>85.63000000000001</v>
      </c>
      <c r="S61" s="180">
        <f t="shared" si="9"/>
        <v>85.63000000000001</v>
      </c>
      <c r="T61" s="180">
        <f t="shared" si="9"/>
        <v>85.63000000000001</v>
      </c>
      <c r="U61" s="180">
        <f t="shared" si="9"/>
        <v>85.63000000000001</v>
      </c>
      <c r="V61" s="180">
        <f t="shared" si="9"/>
        <v>85.63000000000001</v>
      </c>
      <c r="W61" s="180">
        <f t="shared" si="10"/>
        <v>85.63000000000001</v>
      </c>
      <c r="X61" s="180">
        <f t="shared" si="10"/>
        <v>85.63000000000001</v>
      </c>
      <c r="Y61" s="180">
        <f t="shared" si="10"/>
        <v>85.63000000000001</v>
      </c>
      <c r="Z61" s="180">
        <f t="shared" si="10"/>
        <v>85.63000000000001</v>
      </c>
      <c r="AA61" s="180">
        <f t="shared" si="10"/>
        <v>85.63000000000001</v>
      </c>
      <c r="AB61" s="180">
        <f t="shared" si="10"/>
        <v>85.63000000000001</v>
      </c>
      <c r="AC61" s="180">
        <f t="shared" si="10"/>
        <v>61.769999999999996</v>
      </c>
      <c r="AD61" s="180">
        <f t="shared" si="10"/>
        <v>61.769999999999996</v>
      </c>
      <c r="AE61" s="180">
        <f t="shared" si="10"/>
        <v>61.769999999999996</v>
      </c>
      <c r="AF61" s="180">
        <f t="shared" si="10"/>
        <v>61.769999999999996</v>
      </c>
      <c r="AG61" s="180">
        <f t="shared" si="11"/>
        <v>61.769999999999996</v>
      </c>
      <c r="AH61" s="180">
        <f t="shared" si="11"/>
        <v>61.769999999999996</v>
      </c>
      <c r="AI61" s="181">
        <f t="shared" si="11"/>
        <v>61.769999999999996</v>
      </c>
      <c r="AJ61" s="181">
        <f t="shared" si="11"/>
        <v>61.769999999999996</v>
      </c>
      <c r="AK61" s="181">
        <f t="shared" si="11"/>
        <v>61.769999999999996</v>
      </c>
      <c r="AL61" s="181">
        <f t="shared" si="11"/>
        <v>61.769999999999996</v>
      </c>
      <c r="AM61" s="181">
        <f t="shared" si="11"/>
        <v>61.769999999999996</v>
      </c>
      <c r="AN61" s="181">
        <f t="shared" si="11"/>
        <v>61.769999999999996</v>
      </c>
      <c r="AO61" s="181">
        <f t="shared" si="11"/>
        <v>61.769999999999996</v>
      </c>
      <c r="AP61" s="181">
        <f t="shared" si="11"/>
        <v>61.769999999999996</v>
      </c>
      <c r="AQ61" s="181">
        <f t="shared" si="12"/>
        <v>61.769999999999996</v>
      </c>
      <c r="AR61" s="181">
        <f t="shared" si="12"/>
        <v>61.769999999999996</v>
      </c>
      <c r="AS61" s="181">
        <f t="shared" si="12"/>
        <v>61.769999999999996</v>
      </c>
      <c r="AT61" s="181">
        <f t="shared" si="12"/>
        <v>61.769999999999996</v>
      </c>
      <c r="AU61" s="181">
        <f t="shared" si="12"/>
        <v>61.769999999999996</v>
      </c>
      <c r="AV61" s="181">
        <f t="shared" si="12"/>
        <v>61.769999999999996</v>
      </c>
      <c r="AW61" s="181">
        <f t="shared" si="12"/>
        <v>59.42</v>
      </c>
      <c r="AX61" s="181">
        <f t="shared" si="12"/>
        <v>59.42</v>
      </c>
      <c r="AY61" s="181">
        <f t="shared" si="12"/>
        <v>59.42</v>
      </c>
      <c r="AZ61" s="181">
        <f t="shared" si="12"/>
        <v>59.42</v>
      </c>
      <c r="BA61" s="181">
        <f t="shared" si="12"/>
        <v>59.42</v>
      </c>
      <c r="BB61" s="182">
        <f t="shared" si="12"/>
        <v>59.42</v>
      </c>
    </row>
    <row r="62" spans="2:54" x14ac:dyDescent="0.3">
      <c r="B62" s="28">
        <v>2028</v>
      </c>
      <c r="C62" s="179">
        <f t="shared" si="8"/>
        <v>0</v>
      </c>
      <c r="D62" s="180">
        <f t="shared" si="8"/>
        <v>0</v>
      </c>
      <c r="E62" s="180">
        <f t="shared" si="8"/>
        <v>0</v>
      </c>
      <c r="F62" s="180">
        <f t="shared" si="8"/>
        <v>0</v>
      </c>
      <c r="G62" s="180">
        <f t="shared" si="8"/>
        <v>0</v>
      </c>
      <c r="H62" s="180">
        <f t="shared" si="8"/>
        <v>0</v>
      </c>
      <c r="I62" s="180">
        <f t="shared" si="8"/>
        <v>0</v>
      </c>
      <c r="J62" s="180">
        <f t="shared" si="8"/>
        <v>81.600000000000009</v>
      </c>
      <c r="K62" s="180">
        <f t="shared" si="8"/>
        <v>81.600000000000009</v>
      </c>
      <c r="L62" s="180">
        <f t="shared" si="8"/>
        <v>81.600000000000009</v>
      </c>
      <c r="M62" s="180">
        <f t="shared" si="9"/>
        <v>81.600000000000009</v>
      </c>
      <c r="N62" s="180">
        <f t="shared" si="9"/>
        <v>81.600000000000009</v>
      </c>
      <c r="O62" s="180">
        <f t="shared" si="9"/>
        <v>81.600000000000009</v>
      </c>
      <c r="P62" s="180">
        <f t="shared" si="9"/>
        <v>81.600000000000009</v>
      </c>
      <c r="Q62" s="180">
        <f t="shared" si="9"/>
        <v>81.600000000000009</v>
      </c>
      <c r="R62" s="180">
        <f t="shared" si="9"/>
        <v>81.600000000000009</v>
      </c>
      <c r="S62" s="180">
        <f t="shared" si="9"/>
        <v>81.600000000000009</v>
      </c>
      <c r="T62" s="180">
        <f t="shared" si="9"/>
        <v>81.600000000000009</v>
      </c>
      <c r="U62" s="180">
        <f t="shared" si="9"/>
        <v>81.600000000000009</v>
      </c>
      <c r="V62" s="180">
        <f t="shared" si="9"/>
        <v>81.600000000000009</v>
      </c>
      <c r="W62" s="180">
        <f t="shared" si="10"/>
        <v>81.600000000000009</v>
      </c>
      <c r="X62" s="180">
        <f t="shared" si="10"/>
        <v>81.600000000000009</v>
      </c>
      <c r="Y62" s="180">
        <f t="shared" si="10"/>
        <v>81.600000000000009</v>
      </c>
      <c r="Z62" s="180">
        <f t="shared" si="10"/>
        <v>81.600000000000009</v>
      </c>
      <c r="AA62" s="180">
        <f t="shared" si="10"/>
        <v>81.600000000000009</v>
      </c>
      <c r="AB62" s="180">
        <f t="shared" si="10"/>
        <v>81.600000000000009</v>
      </c>
      <c r="AC62" s="180">
        <f t="shared" si="10"/>
        <v>81.600000000000009</v>
      </c>
      <c r="AD62" s="180">
        <f t="shared" si="10"/>
        <v>60.879999999999995</v>
      </c>
      <c r="AE62" s="180">
        <f t="shared" si="10"/>
        <v>60.879999999999995</v>
      </c>
      <c r="AF62" s="180">
        <f t="shared" si="10"/>
        <v>60.879999999999995</v>
      </c>
      <c r="AG62" s="180">
        <f t="shared" si="11"/>
        <v>60.879999999999995</v>
      </c>
      <c r="AH62" s="180">
        <f t="shared" si="11"/>
        <v>60.879999999999995</v>
      </c>
      <c r="AI62" s="181">
        <f t="shared" si="11"/>
        <v>60.879999999999995</v>
      </c>
      <c r="AJ62" s="181">
        <f t="shared" si="11"/>
        <v>60.879999999999995</v>
      </c>
      <c r="AK62" s="181">
        <f t="shared" si="11"/>
        <v>60.879999999999995</v>
      </c>
      <c r="AL62" s="181">
        <f t="shared" si="11"/>
        <v>60.879999999999995</v>
      </c>
      <c r="AM62" s="181">
        <f t="shared" si="11"/>
        <v>60.879999999999995</v>
      </c>
      <c r="AN62" s="181">
        <f t="shared" si="11"/>
        <v>60.879999999999995</v>
      </c>
      <c r="AO62" s="181">
        <f t="shared" si="11"/>
        <v>60.879999999999995</v>
      </c>
      <c r="AP62" s="181">
        <f t="shared" si="11"/>
        <v>60.879999999999995</v>
      </c>
      <c r="AQ62" s="181">
        <f t="shared" si="12"/>
        <v>60.879999999999995</v>
      </c>
      <c r="AR62" s="181">
        <f t="shared" si="12"/>
        <v>60.879999999999995</v>
      </c>
      <c r="AS62" s="181">
        <f t="shared" si="12"/>
        <v>60.879999999999995</v>
      </c>
      <c r="AT62" s="181">
        <f t="shared" si="12"/>
        <v>60.879999999999995</v>
      </c>
      <c r="AU62" s="181">
        <f t="shared" si="12"/>
        <v>60.879999999999995</v>
      </c>
      <c r="AV62" s="181">
        <f t="shared" si="12"/>
        <v>60.879999999999995</v>
      </c>
      <c r="AW62" s="181">
        <f t="shared" si="12"/>
        <v>60.879999999999995</v>
      </c>
      <c r="AX62" s="181">
        <f t="shared" si="12"/>
        <v>59.42</v>
      </c>
      <c r="AY62" s="181">
        <f t="shared" si="12"/>
        <v>59.42</v>
      </c>
      <c r="AZ62" s="181">
        <f t="shared" si="12"/>
        <v>59.42</v>
      </c>
      <c r="BA62" s="181">
        <f t="shared" si="12"/>
        <v>59.42</v>
      </c>
      <c r="BB62" s="182">
        <f t="shared" si="12"/>
        <v>59.42</v>
      </c>
    </row>
    <row r="63" spans="2:54" x14ac:dyDescent="0.3">
      <c r="B63" s="28">
        <v>2029</v>
      </c>
      <c r="C63" s="179">
        <f t="shared" si="8"/>
        <v>0</v>
      </c>
      <c r="D63" s="180">
        <f t="shared" si="8"/>
        <v>0</v>
      </c>
      <c r="E63" s="180">
        <f t="shared" si="8"/>
        <v>0</v>
      </c>
      <c r="F63" s="180">
        <f t="shared" si="8"/>
        <v>0</v>
      </c>
      <c r="G63" s="180">
        <f t="shared" si="8"/>
        <v>0</v>
      </c>
      <c r="H63" s="180">
        <f t="shared" si="8"/>
        <v>0</v>
      </c>
      <c r="I63" s="180">
        <f t="shared" si="8"/>
        <v>0</v>
      </c>
      <c r="J63" s="180">
        <f t="shared" si="8"/>
        <v>0</v>
      </c>
      <c r="K63" s="180">
        <f t="shared" si="8"/>
        <v>77.550000000000011</v>
      </c>
      <c r="L63" s="180">
        <f t="shared" si="8"/>
        <v>77.550000000000011</v>
      </c>
      <c r="M63" s="180">
        <f t="shared" si="9"/>
        <v>77.550000000000011</v>
      </c>
      <c r="N63" s="180">
        <f t="shared" si="9"/>
        <v>77.550000000000011</v>
      </c>
      <c r="O63" s="180">
        <f t="shared" si="9"/>
        <v>77.550000000000011</v>
      </c>
      <c r="P63" s="180">
        <f t="shared" si="9"/>
        <v>77.550000000000011</v>
      </c>
      <c r="Q63" s="180">
        <f t="shared" si="9"/>
        <v>77.550000000000011</v>
      </c>
      <c r="R63" s="180">
        <f t="shared" si="9"/>
        <v>77.550000000000011</v>
      </c>
      <c r="S63" s="180">
        <f t="shared" si="9"/>
        <v>77.550000000000011</v>
      </c>
      <c r="T63" s="180">
        <f t="shared" si="9"/>
        <v>77.550000000000011</v>
      </c>
      <c r="U63" s="180">
        <f t="shared" si="9"/>
        <v>77.550000000000011</v>
      </c>
      <c r="V63" s="180">
        <f t="shared" si="9"/>
        <v>77.550000000000011</v>
      </c>
      <c r="W63" s="180">
        <f t="shared" si="10"/>
        <v>77.550000000000011</v>
      </c>
      <c r="X63" s="180">
        <f t="shared" si="10"/>
        <v>77.550000000000011</v>
      </c>
      <c r="Y63" s="180">
        <f t="shared" si="10"/>
        <v>77.550000000000011</v>
      </c>
      <c r="Z63" s="180">
        <f t="shared" si="10"/>
        <v>77.550000000000011</v>
      </c>
      <c r="AA63" s="180">
        <f t="shared" si="10"/>
        <v>77.550000000000011</v>
      </c>
      <c r="AB63" s="180">
        <f t="shared" si="10"/>
        <v>77.550000000000011</v>
      </c>
      <c r="AC63" s="180">
        <f t="shared" si="10"/>
        <v>77.550000000000011</v>
      </c>
      <c r="AD63" s="180">
        <f t="shared" si="10"/>
        <v>77.550000000000011</v>
      </c>
      <c r="AE63" s="180">
        <f t="shared" si="10"/>
        <v>60.25</v>
      </c>
      <c r="AF63" s="180">
        <f t="shared" si="10"/>
        <v>60.25</v>
      </c>
      <c r="AG63" s="180">
        <f t="shared" si="11"/>
        <v>60.25</v>
      </c>
      <c r="AH63" s="180">
        <f t="shared" si="11"/>
        <v>60.25</v>
      </c>
      <c r="AI63" s="181">
        <f t="shared" si="11"/>
        <v>60.25</v>
      </c>
      <c r="AJ63" s="181">
        <f t="shared" si="11"/>
        <v>60.25</v>
      </c>
      <c r="AK63" s="181">
        <f t="shared" si="11"/>
        <v>60.25</v>
      </c>
      <c r="AL63" s="181">
        <f t="shared" si="11"/>
        <v>60.25</v>
      </c>
      <c r="AM63" s="181">
        <f t="shared" si="11"/>
        <v>60.25</v>
      </c>
      <c r="AN63" s="181">
        <f t="shared" si="11"/>
        <v>60.25</v>
      </c>
      <c r="AO63" s="181">
        <f t="shared" si="11"/>
        <v>60.25</v>
      </c>
      <c r="AP63" s="181">
        <f t="shared" si="11"/>
        <v>60.25</v>
      </c>
      <c r="AQ63" s="181">
        <f t="shared" si="12"/>
        <v>60.25</v>
      </c>
      <c r="AR63" s="181">
        <f t="shared" si="12"/>
        <v>60.25</v>
      </c>
      <c r="AS63" s="181">
        <f t="shared" si="12"/>
        <v>60.25</v>
      </c>
      <c r="AT63" s="181">
        <f t="shared" si="12"/>
        <v>60.25</v>
      </c>
      <c r="AU63" s="181">
        <f t="shared" si="12"/>
        <v>60.25</v>
      </c>
      <c r="AV63" s="181">
        <f t="shared" si="12"/>
        <v>60.25</v>
      </c>
      <c r="AW63" s="181">
        <f t="shared" si="12"/>
        <v>60.25</v>
      </c>
      <c r="AX63" s="181">
        <f t="shared" si="12"/>
        <v>60.25</v>
      </c>
      <c r="AY63" s="181">
        <f t="shared" si="12"/>
        <v>59.42</v>
      </c>
      <c r="AZ63" s="181">
        <f t="shared" si="12"/>
        <v>59.42</v>
      </c>
      <c r="BA63" s="181">
        <f t="shared" si="12"/>
        <v>59.42</v>
      </c>
      <c r="BB63" s="182">
        <f t="shared" si="12"/>
        <v>59.42</v>
      </c>
    </row>
    <row r="64" spans="2:54" x14ac:dyDescent="0.3">
      <c r="B64" s="28">
        <v>2030</v>
      </c>
      <c r="C64" s="179">
        <f t="shared" si="8"/>
        <v>0</v>
      </c>
      <c r="D64" s="180">
        <f t="shared" si="8"/>
        <v>0</v>
      </c>
      <c r="E64" s="180">
        <f t="shared" si="8"/>
        <v>0</v>
      </c>
      <c r="F64" s="180">
        <f t="shared" si="8"/>
        <v>0</v>
      </c>
      <c r="G64" s="180">
        <f t="shared" si="8"/>
        <v>0</v>
      </c>
      <c r="H64" s="180">
        <f t="shared" si="8"/>
        <v>0</v>
      </c>
      <c r="I64" s="180">
        <f t="shared" si="8"/>
        <v>0</v>
      </c>
      <c r="J64" s="180">
        <f t="shared" si="8"/>
        <v>0</v>
      </c>
      <c r="K64" s="180">
        <f t="shared" si="8"/>
        <v>0</v>
      </c>
      <c r="L64" s="180">
        <f t="shared" si="8"/>
        <v>73.819999999999993</v>
      </c>
      <c r="M64" s="180">
        <f t="shared" si="9"/>
        <v>73.819999999999993</v>
      </c>
      <c r="N64" s="180">
        <f t="shared" si="9"/>
        <v>73.819999999999993</v>
      </c>
      <c r="O64" s="180">
        <f t="shared" si="9"/>
        <v>73.819999999999993</v>
      </c>
      <c r="P64" s="180">
        <f t="shared" si="9"/>
        <v>73.819999999999993</v>
      </c>
      <c r="Q64" s="180">
        <f t="shared" si="9"/>
        <v>73.819999999999993</v>
      </c>
      <c r="R64" s="180">
        <f t="shared" si="9"/>
        <v>73.819999999999993</v>
      </c>
      <c r="S64" s="180">
        <f t="shared" si="9"/>
        <v>73.819999999999993</v>
      </c>
      <c r="T64" s="180">
        <f t="shared" si="9"/>
        <v>73.819999999999993</v>
      </c>
      <c r="U64" s="180">
        <f t="shared" si="9"/>
        <v>73.819999999999993</v>
      </c>
      <c r="V64" s="180">
        <f t="shared" si="9"/>
        <v>73.819999999999993</v>
      </c>
      <c r="W64" s="180">
        <f t="shared" si="10"/>
        <v>73.819999999999993</v>
      </c>
      <c r="X64" s="180">
        <f t="shared" si="10"/>
        <v>73.819999999999993</v>
      </c>
      <c r="Y64" s="180">
        <f t="shared" si="10"/>
        <v>73.819999999999993</v>
      </c>
      <c r="Z64" s="180">
        <f t="shared" si="10"/>
        <v>73.819999999999993</v>
      </c>
      <c r="AA64" s="180">
        <f t="shared" si="10"/>
        <v>73.819999999999993</v>
      </c>
      <c r="AB64" s="180">
        <f t="shared" si="10"/>
        <v>73.819999999999993</v>
      </c>
      <c r="AC64" s="180">
        <f t="shared" si="10"/>
        <v>73.819999999999993</v>
      </c>
      <c r="AD64" s="180">
        <f t="shared" si="10"/>
        <v>73.819999999999993</v>
      </c>
      <c r="AE64" s="180">
        <f t="shared" si="10"/>
        <v>73.819999999999993</v>
      </c>
      <c r="AF64" s="180">
        <f t="shared" si="10"/>
        <v>59.42</v>
      </c>
      <c r="AG64" s="180">
        <f t="shared" si="11"/>
        <v>59.42</v>
      </c>
      <c r="AH64" s="180">
        <f t="shared" si="11"/>
        <v>59.42</v>
      </c>
      <c r="AI64" s="181">
        <f t="shared" si="11"/>
        <v>59.42</v>
      </c>
      <c r="AJ64" s="181">
        <f t="shared" si="11"/>
        <v>59.42</v>
      </c>
      <c r="AK64" s="181">
        <f t="shared" si="11"/>
        <v>59.42</v>
      </c>
      <c r="AL64" s="181">
        <f t="shared" si="11"/>
        <v>59.42</v>
      </c>
      <c r="AM64" s="181">
        <f t="shared" si="11"/>
        <v>59.42</v>
      </c>
      <c r="AN64" s="181">
        <f t="shared" si="11"/>
        <v>59.42</v>
      </c>
      <c r="AO64" s="181">
        <f t="shared" si="11"/>
        <v>59.42</v>
      </c>
      <c r="AP64" s="181">
        <f t="shared" si="11"/>
        <v>59.42</v>
      </c>
      <c r="AQ64" s="181">
        <f t="shared" si="12"/>
        <v>59.42</v>
      </c>
      <c r="AR64" s="181">
        <f t="shared" si="12"/>
        <v>59.42</v>
      </c>
      <c r="AS64" s="181">
        <f t="shared" si="12"/>
        <v>59.42</v>
      </c>
      <c r="AT64" s="181">
        <f t="shared" si="12"/>
        <v>59.42</v>
      </c>
      <c r="AU64" s="181">
        <f t="shared" si="12"/>
        <v>59.42</v>
      </c>
      <c r="AV64" s="181">
        <f t="shared" si="12"/>
        <v>59.42</v>
      </c>
      <c r="AW64" s="181">
        <f t="shared" si="12"/>
        <v>59.42</v>
      </c>
      <c r="AX64" s="181">
        <f t="shared" si="12"/>
        <v>59.42</v>
      </c>
      <c r="AY64" s="181">
        <f t="shared" si="12"/>
        <v>59.42</v>
      </c>
      <c r="AZ64" s="181">
        <f t="shared" si="12"/>
        <v>59.42</v>
      </c>
      <c r="BA64" s="181">
        <f t="shared" si="12"/>
        <v>59.42</v>
      </c>
      <c r="BB64" s="182">
        <f t="shared" si="12"/>
        <v>59.42</v>
      </c>
    </row>
    <row r="65" spans="2:54" x14ac:dyDescent="0.3">
      <c r="B65" s="28">
        <v>2031</v>
      </c>
      <c r="C65" s="179">
        <f t="shared" ref="C65:L74" si="13">CHOOSE(IF(C$54&lt;$B65,1,IF(C$2&gt;=$B65+lifetime, 3, 2)), 0, INDEX($C$6:$AH$6,MATCH(MIN(MAX($C$2:$AH$2),$B65+INT((C$54-$B65)/lifetime)*lifetime),$C$2:$AH$2)), INDEX($C$7:$AH$7,MATCH($B65,$C$2:$AF$2,0)))</f>
        <v>0</v>
      </c>
      <c r="D65" s="180">
        <f t="shared" si="13"/>
        <v>0</v>
      </c>
      <c r="E65" s="180">
        <f t="shared" si="13"/>
        <v>0</v>
      </c>
      <c r="F65" s="180">
        <f t="shared" si="13"/>
        <v>0</v>
      </c>
      <c r="G65" s="180">
        <f t="shared" si="13"/>
        <v>0</v>
      </c>
      <c r="H65" s="180">
        <f t="shared" si="13"/>
        <v>0</v>
      </c>
      <c r="I65" s="180">
        <f t="shared" si="13"/>
        <v>0</v>
      </c>
      <c r="J65" s="180">
        <f t="shared" si="13"/>
        <v>0</v>
      </c>
      <c r="K65" s="180">
        <f t="shared" si="13"/>
        <v>0</v>
      </c>
      <c r="L65" s="180">
        <f t="shared" si="13"/>
        <v>0</v>
      </c>
      <c r="M65" s="180">
        <f t="shared" ref="M65:V74" si="14">CHOOSE(IF(M$54&lt;$B65,1,IF(M$2&gt;=$B65+lifetime, 3, 2)), 0, INDEX($C$6:$AH$6,MATCH(MIN(MAX($C$2:$AH$2),$B65+INT((M$54-$B65)/lifetime)*lifetime),$C$2:$AH$2)), INDEX($C$7:$AH$7,MATCH($B65,$C$2:$AF$2,0)))</f>
        <v>72.929999999999993</v>
      </c>
      <c r="N65" s="180">
        <f t="shared" si="14"/>
        <v>72.929999999999993</v>
      </c>
      <c r="O65" s="180">
        <f t="shared" si="14"/>
        <v>72.929999999999993</v>
      </c>
      <c r="P65" s="180">
        <f t="shared" si="14"/>
        <v>72.929999999999993</v>
      </c>
      <c r="Q65" s="180">
        <f t="shared" si="14"/>
        <v>72.929999999999993</v>
      </c>
      <c r="R65" s="180">
        <f t="shared" si="14"/>
        <v>72.929999999999993</v>
      </c>
      <c r="S65" s="180">
        <f t="shared" si="14"/>
        <v>72.929999999999993</v>
      </c>
      <c r="T65" s="180">
        <f t="shared" si="14"/>
        <v>72.929999999999993</v>
      </c>
      <c r="U65" s="180">
        <f t="shared" si="14"/>
        <v>72.929999999999993</v>
      </c>
      <c r="V65" s="180">
        <f t="shared" si="14"/>
        <v>72.929999999999993</v>
      </c>
      <c r="W65" s="180">
        <f t="shared" ref="W65:AF74" si="15">CHOOSE(IF(W$54&lt;$B65,1,IF(W$2&gt;=$B65+lifetime, 3, 2)), 0, INDEX($C$6:$AH$6,MATCH(MIN(MAX($C$2:$AH$2),$B65+INT((W$54-$B65)/lifetime)*lifetime),$C$2:$AH$2)), INDEX($C$7:$AH$7,MATCH($B65,$C$2:$AF$2,0)))</f>
        <v>72.929999999999993</v>
      </c>
      <c r="X65" s="180">
        <f t="shared" si="15"/>
        <v>72.929999999999993</v>
      </c>
      <c r="Y65" s="180">
        <f t="shared" si="15"/>
        <v>72.929999999999993</v>
      </c>
      <c r="Z65" s="180">
        <f t="shared" si="15"/>
        <v>72.929999999999993</v>
      </c>
      <c r="AA65" s="180">
        <f t="shared" si="15"/>
        <v>72.929999999999993</v>
      </c>
      <c r="AB65" s="180">
        <f t="shared" si="15"/>
        <v>72.929999999999993</v>
      </c>
      <c r="AC65" s="180">
        <f t="shared" si="15"/>
        <v>72.929999999999993</v>
      </c>
      <c r="AD65" s="180">
        <f t="shared" si="15"/>
        <v>72.929999999999993</v>
      </c>
      <c r="AE65" s="180">
        <f t="shared" si="15"/>
        <v>72.929999999999993</v>
      </c>
      <c r="AF65" s="180">
        <f t="shared" si="15"/>
        <v>72.929999999999993</v>
      </c>
      <c r="AG65" s="180">
        <f t="shared" ref="AG65:AP74" si="16">CHOOSE(IF(AG$54&lt;$B65,1,IF(AG$2&gt;=$B65+lifetime, 3, 2)), 0, INDEX($C$6:$AH$6,MATCH(MIN(MAX($C$2:$AH$2),$B65+INT((AG$54-$B65)/lifetime)*lifetime),$C$2:$AH$2)), INDEX($C$7:$AH$7,MATCH($B65,$C$2:$AF$2,0)))</f>
        <v>59.42</v>
      </c>
      <c r="AH65" s="180">
        <f t="shared" si="16"/>
        <v>59.42</v>
      </c>
      <c r="AI65" s="181">
        <f t="shared" si="16"/>
        <v>59.42</v>
      </c>
      <c r="AJ65" s="181">
        <f t="shared" si="16"/>
        <v>59.42</v>
      </c>
      <c r="AK65" s="181">
        <f t="shared" si="16"/>
        <v>59.42</v>
      </c>
      <c r="AL65" s="181">
        <f t="shared" si="16"/>
        <v>59.42</v>
      </c>
      <c r="AM65" s="181">
        <f t="shared" si="16"/>
        <v>59.42</v>
      </c>
      <c r="AN65" s="181">
        <f t="shared" si="16"/>
        <v>59.42</v>
      </c>
      <c r="AO65" s="181">
        <f t="shared" si="16"/>
        <v>59.42</v>
      </c>
      <c r="AP65" s="181">
        <f t="shared" si="16"/>
        <v>59.42</v>
      </c>
      <c r="AQ65" s="181">
        <f t="shared" ref="AQ65:BB74" si="17">CHOOSE(IF(AQ$54&lt;$B65,1,IF(AQ$2&gt;=$B65+lifetime, 3, 2)), 0, INDEX($C$6:$AH$6,MATCH(MIN(MAX($C$2:$AH$2),$B65+INT((AQ$54-$B65)/lifetime)*lifetime),$C$2:$AH$2)), INDEX($C$7:$AH$7,MATCH($B65,$C$2:$AF$2,0)))</f>
        <v>59.42</v>
      </c>
      <c r="AR65" s="181">
        <f t="shared" si="17"/>
        <v>59.42</v>
      </c>
      <c r="AS65" s="181">
        <f t="shared" si="17"/>
        <v>59.42</v>
      </c>
      <c r="AT65" s="181">
        <f t="shared" si="17"/>
        <v>59.42</v>
      </c>
      <c r="AU65" s="181">
        <f t="shared" si="17"/>
        <v>59.42</v>
      </c>
      <c r="AV65" s="181">
        <f t="shared" si="17"/>
        <v>59.42</v>
      </c>
      <c r="AW65" s="181">
        <f t="shared" si="17"/>
        <v>59.42</v>
      </c>
      <c r="AX65" s="181">
        <f t="shared" si="17"/>
        <v>59.42</v>
      </c>
      <c r="AY65" s="181">
        <f t="shared" si="17"/>
        <v>59.42</v>
      </c>
      <c r="AZ65" s="181">
        <f t="shared" si="17"/>
        <v>59.42</v>
      </c>
      <c r="BA65" s="181">
        <f t="shared" si="17"/>
        <v>59.42</v>
      </c>
      <c r="BB65" s="182">
        <f t="shared" si="17"/>
        <v>59.42</v>
      </c>
    </row>
    <row r="66" spans="2:54" x14ac:dyDescent="0.3">
      <c r="B66" s="28">
        <v>2032</v>
      </c>
      <c r="C66" s="179">
        <f t="shared" si="13"/>
        <v>0</v>
      </c>
      <c r="D66" s="180">
        <f t="shared" si="13"/>
        <v>0</v>
      </c>
      <c r="E66" s="180">
        <f t="shared" si="13"/>
        <v>0</v>
      </c>
      <c r="F66" s="180">
        <f t="shared" si="13"/>
        <v>0</v>
      </c>
      <c r="G66" s="180">
        <f t="shared" si="13"/>
        <v>0</v>
      </c>
      <c r="H66" s="180">
        <f t="shared" si="13"/>
        <v>0</v>
      </c>
      <c r="I66" s="180">
        <f t="shared" si="13"/>
        <v>0</v>
      </c>
      <c r="J66" s="180">
        <f t="shared" si="13"/>
        <v>0</v>
      </c>
      <c r="K66" s="180">
        <f t="shared" si="13"/>
        <v>0</v>
      </c>
      <c r="L66" s="180">
        <f t="shared" si="13"/>
        <v>0</v>
      </c>
      <c r="M66" s="180">
        <f t="shared" si="14"/>
        <v>0</v>
      </c>
      <c r="N66" s="180">
        <f t="shared" si="14"/>
        <v>72.099999999999994</v>
      </c>
      <c r="O66" s="180">
        <f t="shared" si="14"/>
        <v>72.099999999999994</v>
      </c>
      <c r="P66" s="180">
        <f t="shared" si="14"/>
        <v>72.099999999999994</v>
      </c>
      <c r="Q66" s="180">
        <f t="shared" si="14"/>
        <v>72.099999999999994</v>
      </c>
      <c r="R66" s="180">
        <f t="shared" si="14"/>
        <v>72.099999999999994</v>
      </c>
      <c r="S66" s="180">
        <f t="shared" si="14"/>
        <v>72.099999999999994</v>
      </c>
      <c r="T66" s="180">
        <f t="shared" si="14"/>
        <v>72.099999999999994</v>
      </c>
      <c r="U66" s="180">
        <f t="shared" si="14"/>
        <v>72.099999999999994</v>
      </c>
      <c r="V66" s="180">
        <f t="shared" si="14"/>
        <v>72.099999999999994</v>
      </c>
      <c r="W66" s="180">
        <f t="shared" si="15"/>
        <v>72.099999999999994</v>
      </c>
      <c r="X66" s="180">
        <f t="shared" si="15"/>
        <v>72.099999999999994</v>
      </c>
      <c r="Y66" s="180">
        <f t="shared" si="15"/>
        <v>72.099999999999994</v>
      </c>
      <c r="Z66" s="180">
        <f t="shared" si="15"/>
        <v>72.099999999999994</v>
      </c>
      <c r="AA66" s="180">
        <f t="shared" si="15"/>
        <v>72.099999999999994</v>
      </c>
      <c r="AB66" s="180">
        <f t="shared" si="15"/>
        <v>72.099999999999994</v>
      </c>
      <c r="AC66" s="180">
        <f t="shared" si="15"/>
        <v>72.099999999999994</v>
      </c>
      <c r="AD66" s="180">
        <f t="shared" si="15"/>
        <v>72.099999999999994</v>
      </c>
      <c r="AE66" s="180">
        <f t="shared" si="15"/>
        <v>72.099999999999994</v>
      </c>
      <c r="AF66" s="180">
        <f t="shared" si="15"/>
        <v>72.099999999999994</v>
      </c>
      <c r="AG66" s="180">
        <f t="shared" si="16"/>
        <v>72.099999999999994</v>
      </c>
      <c r="AH66" s="180">
        <f t="shared" si="16"/>
        <v>59.42</v>
      </c>
      <c r="AI66" s="181">
        <f t="shared" si="16"/>
        <v>59.42</v>
      </c>
      <c r="AJ66" s="181">
        <f t="shared" si="16"/>
        <v>59.42</v>
      </c>
      <c r="AK66" s="181">
        <f t="shared" si="16"/>
        <v>59.42</v>
      </c>
      <c r="AL66" s="181">
        <f t="shared" si="16"/>
        <v>59.42</v>
      </c>
      <c r="AM66" s="181">
        <f t="shared" si="16"/>
        <v>59.42</v>
      </c>
      <c r="AN66" s="181">
        <f t="shared" si="16"/>
        <v>59.42</v>
      </c>
      <c r="AO66" s="181">
        <f t="shared" si="16"/>
        <v>59.42</v>
      </c>
      <c r="AP66" s="181">
        <f t="shared" si="16"/>
        <v>59.42</v>
      </c>
      <c r="AQ66" s="181">
        <f t="shared" si="17"/>
        <v>59.42</v>
      </c>
      <c r="AR66" s="181">
        <f t="shared" si="17"/>
        <v>59.42</v>
      </c>
      <c r="AS66" s="181">
        <f t="shared" si="17"/>
        <v>59.42</v>
      </c>
      <c r="AT66" s="181">
        <f t="shared" si="17"/>
        <v>59.42</v>
      </c>
      <c r="AU66" s="181">
        <f t="shared" si="17"/>
        <v>59.42</v>
      </c>
      <c r="AV66" s="181">
        <f t="shared" si="17"/>
        <v>59.42</v>
      </c>
      <c r="AW66" s="181">
        <f t="shared" si="17"/>
        <v>59.42</v>
      </c>
      <c r="AX66" s="181">
        <f t="shared" si="17"/>
        <v>59.42</v>
      </c>
      <c r="AY66" s="181">
        <f t="shared" si="17"/>
        <v>59.42</v>
      </c>
      <c r="AZ66" s="181">
        <f t="shared" si="17"/>
        <v>59.42</v>
      </c>
      <c r="BA66" s="181">
        <f t="shared" si="17"/>
        <v>59.42</v>
      </c>
      <c r="BB66" s="182">
        <f t="shared" si="17"/>
        <v>59.42</v>
      </c>
    </row>
    <row r="67" spans="2:54" x14ac:dyDescent="0.3">
      <c r="B67" s="28">
        <v>2033</v>
      </c>
      <c r="C67" s="179">
        <f t="shared" si="13"/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3"/>
        <v>0</v>
      </c>
      <c r="K67" s="180">
        <f t="shared" si="13"/>
        <v>0</v>
      </c>
      <c r="L67" s="180">
        <f t="shared" si="13"/>
        <v>0</v>
      </c>
      <c r="M67" s="180">
        <f t="shared" si="14"/>
        <v>0</v>
      </c>
      <c r="N67" s="180">
        <f t="shared" si="14"/>
        <v>0</v>
      </c>
      <c r="O67" s="180">
        <f t="shared" si="14"/>
        <v>71.009999999999991</v>
      </c>
      <c r="P67" s="180">
        <f t="shared" si="14"/>
        <v>71.009999999999991</v>
      </c>
      <c r="Q67" s="180">
        <f t="shared" si="14"/>
        <v>71.009999999999991</v>
      </c>
      <c r="R67" s="180">
        <f t="shared" si="14"/>
        <v>71.009999999999991</v>
      </c>
      <c r="S67" s="180">
        <f t="shared" si="14"/>
        <v>71.009999999999991</v>
      </c>
      <c r="T67" s="180">
        <f t="shared" si="14"/>
        <v>71.009999999999991</v>
      </c>
      <c r="U67" s="180">
        <f t="shared" si="14"/>
        <v>71.009999999999991</v>
      </c>
      <c r="V67" s="180">
        <f t="shared" si="14"/>
        <v>71.009999999999991</v>
      </c>
      <c r="W67" s="180">
        <f t="shared" si="15"/>
        <v>71.009999999999991</v>
      </c>
      <c r="X67" s="180">
        <f t="shared" si="15"/>
        <v>71.009999999999991</v>
      </c>
      <c r="Y67" s="180">
        <f t="shared" si="15"/>
        <v>71.009999999999991</v>
      </c>
      <c r="Z67" s="180">
        <f t="shared" si="15"/>
        <v>71.009999999999991</v>
      </c>
      <c r="AA67" s="180">
        <f t="shared" si="15"/>
        <v>71.009999999999991</v>
      </c>
      <c r="AB67" s="180">
        <f t="shared" si="15"/>
        <v>71.009999999999991</v>
      </c>
      <c r="AC67" s="180">
        <f t="shared" si="15"/>
        <v>71.009999999999991</v>
      </c>
      <c r="AD67" s="180">
        <f t="shared" si="15"/>
        <v>71.009999999999991</v>
      </c>
      <c r="AE67" s="180">
        <f t="shared" si="15"/>
        <v>71.009999999999991</v>
      </c>
      <c r="AF67" s="180">
        <f t="shared" si="15"/>
        <v>71.009999999999991</v>
      </c>
      <c r="AG67" s="180">
        <f t="shared" si="16"/>
        <v>71.009999999999991</v>
      </c>
      <c r="AH67" s="180">
        <f t="shared" si="16"/>
        <v>71.009999999999991</v>
      </c>
      <c r="AI67" s="181">
        <f t="shared" si="16"/>
        <v>59.42</v>
      </c>
      <c r="AJ67" s="181">
        <f t="shared" si="16"/>
        <v>59.42</v>
      </c>
      <c r="AK67" s="181">
        <f t="shared" si="16"/>
        <v>59.42</v>
      </c>
      <c r="AL67" s="181">
        <f t="shared" si="16"/>
        <v>59.42</v>
      </c>
      <c r="AM67" s="181">
        <f t="shared" si="16"/>
        <v>59.42</v>
      </c>
      <c r="AN67" s="181">
        <f t="shared" si="16"/>
        <v>59.42</v>
      </c>
      <c r="AO67" s="181">
        <f t="shared" si="16"/>
        <v>59.42</v>
      </c>
      <c r="AP67" s="181">
        <f t="shared" si="16"/>
        <v>59.42</v>
      </c>
      <c r="AQ67" s="181">
        <f t="shared" si="17"/>
        <v>59.42</v>
      </c>
      <c r="AR67" s="181">
        <f t="shared" si="17"/>
        <v>59.42</v>
      </c>
      <c r="AS67" s="181">
        <f t="shared" si="17"/>
        <v>59.42</v>
      </c>
      <c r="AT67" s="181">
        <f t="shared" si="17"/>
        <v>59.42</v>
      </c>
      <c r="AU67" s="181">
        <f t="shared" si="17"/>
        <v>59.42</v>
      </c>
      <c r="AV67" s="181">
        <f t="shared" si="17"/>
        <v>59.42</v>
      </c>
      <c r="AW67" s="181">
        <f t="shared" si="17"/>
        <v>59.42</v>
      </c>
      <c r="AX67" s="181">
        <f t="shared" si="17"/>
        <v>59.42</v>
      </c>
      <c r="AY67" s="181">
        <f t="shared" si="17"/>
        <v>59.42</v>
      </c>
      <c r="AZ67" s="181">
        <f t="shared" si="17"/>
        <v>59.42</v>
      </c>
      <c r="BA67" s="181">
        <f t="shared" si="17"/>
        <v>59.42</v>
      </c>
      <c r="BB67" s="182">
        <f t="shared" si="17"/>
        <v>59.42</v>
      </c>
    </row>
    <row r="68" spans="2:54" x14ac:dyDescent="0.3">
      <c r="B68" s="28">
        <v>2034</v>
      </c>
      <c r="C68" s="179">
        <f t="shared" si="13"/>
        <v>0</v>
      </c>
      <c r="D68" s="180">
        <f t="shared" si="13"/>
        <v>0</v>
      </c>
      <c r="E68" s="180">
        <f t="shared" si="13"/>
        <v>0</v>
      </c>
      <c r="F68" s="180">
        <f t="shared" si="13"/>
        <v>0</v>
      </c>
      <c r="G68" s="180">
        <f t="shared" si="13"/>
        <v>0</v>
      </c>
      <c r="H68" s="180">
        <f t="shared" si="13"/>
        <v>0</v>
      </c>
      <c r="I68" s="180">
        <f t="shared" si="13"/>
        <v>0</v>
      </c>
      <c r="J68" s="180">
        <f t="shared" si="13"/>
        <v>0</v>
      </c>
      <c r="K68" s="180">
        <f t="shared" si="13"/>
        <v>0</v>
      </c>
      <c r="L68" s="180">
        <f t="shared" si="13"/>
        <v>0</v>
      </c>
      <c r="M68" s="180">
        <f t="shared" si="14"/>
        <v>0</v>
      </c>
      <c r="N68" s="180">
        <f t="shared" si="14"/>
        <v>0</v>
      </c>
      <c r="O68" s="180">
        <f t="shared" si="14"/>
        <v>0</v>
      </c>
      <c r="P68" s="180">
        <f t="shared" si="14"/>
        <v>70.430000000000007</v>
      </c>
      <c r="Q68" s="180">
        <f t="shared" si="14"/>
        <v>70.430000000000007</v>
      </c>
      <c r="R68" s="180">
        <f t="shared" si="14"/>
        <v>70.430000000000007</v>
      </c>
      <c r="S68" s="180">
        <f t="shared" si="14"/>
        <v>70.430000000000007</v>
      </c>
      <c r="T68" s="180">
        <f t="shared" si="14"/>
        <v>70.430000000000007</v>
      </c>
      <c r="U68" s="180">
        <f t="shared" si="14"/>
        <v>70.430000000000007</v>
      </c>
      <c r="V68" s="180">
        <f t="shared" si="14"/>
        <v>70.430000000000007</v>
      </c>
      <c r="W68" s="180">
        <f t="shared" si="15"/>
        <v>70.430000000000007</v>
      </c>
      <c r="X68" s="180">
        <f t="shared" si="15"/>
        <v>70.430000000000007</v>
      </c>
      <c r="Y68" s="180">
        <f t="shared" si="15"/>
        <v>70.430000000000007</v>
      </c>
      <c r="Z68" s="180">
        <f t="shared" si="15"/>
        <v>70.430000000000007</v>
      </c>
      <c r="AA68" s="180">
        <f t="shared" si="15"/>
        <v>70.430000000000007</v>
      </c>
      <c r="AB68" s="180">
        <f t="shared" si="15"/>
        <v>70.430000000000007</v>
      </c>
      <c r="AC68" s="180">
        <f t="shared" si="15"/>
        <v>70.430000000000007</v>
      </c>
      <c r="AD68" s="180">
        <f t="shared" si="15"/>
        <v>70.430000000000007</v>
      </c>
      <c r="AE68" s="180">
        <f t="shared" si="15"/>
        <v>70.430000000000007</v>
      </c>
      <c r="AF68" s="180">
        <f t="shared" si="15"/>
        <v>70.430000000000007</v>
      </c>
      <c r="AG68" s="180">
        <f t="shared" si="16"/>
        <v>70.430000000000007</v>
      </c>
      <c r="AH68" s="180">
        <f t="shared" si="16"/>
        <v>70.430000000000007</v>
      </c>
      <c r="AI68" s="181">
        <f t="shared" si="16"/>
        <v>70.430000000000007</v>
      </c>
      <c r="AJ68" s="181">
        <f t="shared" si="16"/>
        <v>59.42</v>
      </c>
      <c r="AK68" s="181">
        <f t="shared" si="16"/>
        <v>59.42</v>
      </c>
      <c r="AL68" s="181">
        <f t="shared" si="16"/>
        <v>59.42</v>
      </c>
      <c r="AM68" s="181">
        <f t="shared" si="16"/>
        <v>59.42</v>
      </c>
      <c r="AN68" s="181">
        <f t="shared" si="16"/>
        <v>59.42</v>
      </c>
      <c r="AO68" s="181">
        <f t="shared" si="16"/>
        <v>59.42</v>
      </c>
      <c r="AP68" s="181">
        <f t="shared" si="16"/>
        <v>59.42</v>
      </c>
      <c r="AQ68" s="181">
        <f t="shared" si="17"/>
        <v>59.42</v>
      </c>
      <c r="AR68" s="181">
        <f t="shared" si="17"/>
        <v>59.42</v>
      </c>
      <c r="AS68" s="181">
        <f t="shared" si="17"/>
        <v>59.42</v>
      </c>
      <c r="AT68" s="181">
        <f t="shared" si="17"/>
        <v>59.42</v>
      </c>
      <c r="AU68" s="181">
        <f t="shared" si="17"/>
        <v>59.42</v>
      </c>
      <c r="AV68" s="181">
        <f t="shared" si="17"/>
        <v>59.42</v>
      </c>
      <c r="AW68" s="181">
        <f t="shared" si="17"/>
        <v>59.42</v>
      </c>
      <c r="AX68" s="181">
        <f t="shared" si="17"/>
        <v>59.42</v>
      </c>
      <c r="AY68" s="181">
        <f t="shared" si="17"/>
        <v>59.42</v>
      </c>
      <c r="AZ68" s="181">
        <f t="shared" si="17"/>
        <v>59.42</v>
      </c>
      <c r="BA68" s="181">
        <f t="shared" si="17"/>
        <v>59.42</v>
      </c>
      <c r="BB68" s="182">
        <f t="shared" si="17"/>
        <v>59.42</v>
      </c>
    </row>
    <row r="69" spans="2:54" x14ac:dyDescent="0.3">
      <c r="B69" s="28">
        <v>2035</v>
      </c>
      <c r="C69" s="179">
        <f t="shared" si="13"/>
        <v>0</v>
      </c>
      <c r="D69" s="180">
        <f t="shared" si="13"/>
        <v>0</v>
      </c>
      <c r="E69" s="180">
        <f t="shared" si="13"/>
        <v>0</v>
      </c>
      <c r="F69" s="180">
        <f t="shared" si="13"/>
        <v>0</v>
      </c>
      <c r="G69" s="180">
        <f t="shared" si="13"/>
        <v>0</v>
      </c>
      <c r="H69" s="180">
        <f t="shared" si="13"/>
        <v>0</v>
      </c>
      <c r="I69" s="180">
        <f t="shared" si="13"/>
        <v>0</v>
      </c>
      <c r="J69" s="180">
        <f t="shared" si="13"/>
        <v>0</v>
      </c>
      <c r="K69" s="180">
        <f t="shared" si="13"/>
        <v>0</v>
      </c>
      <c r="L69" s="180">
        <f t="shared" si="13"/>
        <v>0</v>
      </c>
      <c r="M69" s="180">
        <f t="shared" si="14"/>
        <v>0</v>
      </c>
      <c r="N69" s="180">
        <f t="shared" si="14"/>
        <v>0</v>
      </c>
      <c r="O69" s="180">
        <f t="shared" si="14"/>
        <v>0</v>
      </c>
      <c r="P69" s="180">
        <f t="shared" si="14"/>
        <v>0</v>
      </c>
      <c r="Q69" s="180">
        <f t="shared" si="14"/>
        <v>69.490000000000009</v>
      </c>
      <c r="R69" s="180">
        <f t="shared" si="14"/>
        <v>69.490000000000009</v>
      </c>
      <c r="S69" s="180">
        <f t="shared" si="14"/>
        <v>69.490000000000009</v>
      </c>
      <c r="T69" s="180">
        <f t="shared" si="14"/>
        <v>69.490000000000009</v>
      </c>
      <c r="U69" s="180">
        <f t="shared" si="14"/>
        <v>69.490000000000009</v>
      </c>
      <c r="V69" s="180">
        <f t="shared" si="14"/>
        <v>69.490000000000009</v>
      </c>
      <c r="W69" s="180">
        <f t="shared" si="15"/>
        <v>69.490000000000009</v>
      </c>
      <c r="X69" s="180">
        <f t="shared" si="15"/>
        <v>69.490000000000009</v>
      </c>
      <c r="Y69" s="180">
        <f t="shared" si="15"/>
        <v>69.490000000000009</v>
      </c>
      <c r="Z69" s="180">
        <f t="shared" si="15"/>
        <v>69.490000000000009</v>
      </c>
      <c r="AA69" s="180">
        <f t="shared" si="15"/>
        <v>69.490000000000009</v>
      </c>
      <c r="AB69" s="180">
        <f t="shared" si="15"/>
        <v>69.490000000000009</v>
      </c>
      <c r="AC69" s="180">
        <f t="shared" si="15"/>
        <v>69.490000000000009</v>
      </c>
      <c r="AD69" s="180">
        <f t="shared" si="15"/>
        <v>69.490000000000009</v>
      </c>
      <c r="AE69" s="180">
        <f t="shared" si="15"/>
        <v>69.490000000000009</v>
      </c>
      <c r="AF69" s="180">
        <f t="shared" si="15"/>
        <v>69.490000000000009</v>
      </c>
      <c r="AG69" s="180">
        <f t="shared" si="16"/>
        <v>69.490000000000009</v>
      </c>
      <c r="AH69" s="180">
        <f t="shared" si="16"/>
        <v>69.490000000000009</v>
      </c>
      <c r="AI69" s="181">
        <f t="shared" si="16"/>
        <v>69.490000000000009</v>
      </c>
      <c r="AJ69" s="181">
        <f t="shared" si="16"/>
        <v>69.490000000000009</v>
      </c>
      <c r="AK69" s="181">
        <f t="shared" si="16"/>
        <v>59.42</v>
      </c>
      <c r="AL69" s="181">
        <f t="shared" si="16"/>
        <v>59.42</v>
      </c>
      <c r="AM69" s="181">
        <f t="shared" si="16"/>
        <v>59.42</v>
      </c>
      <c r="AN69" s="181">
        <f t="shared" si="16"/>
        <v>59.42</v>
      </c>
      <c r="AO69" s="181">
        <f t="shared" si="16"/>
        <v>59.42</v>
      </c>
      <c r="AP69" s="181">
        <f t="shared" si="16"/>
        <v>59.42</v>
      </c>
      <c r="AQ69" s="181">
        <f t="shared" si="17"/>
        <v>59.42</v>
      </c>
      <c r="AR69" s="181">
        <f t="shared" si="17"/>
        <v>59.42</v>
      </c>
      <c r="AS69" s="181">
        <f t="shared" si="17"/>
        <v>59.42</v>
      </c>
      <c r="AT69" s="181">
        <f t="shared" si="17"/>
        <v>59.42</v>
      </c>
      <c r="AU69" s="181">
        <f t="shared" si="17"/>
        <v>59.42</v>
      </c>
      <c r="AV69" s="181">
        <f t="shared" si="17"/>
        <v>59.42</v>
      </c>
      <c r="AW69" s="181">
        <f t="shared" si="17"/>
        <v>59.42</v>
      </c>
      <c r="AX69" s="181">
        <f t="shared" si="17"/>
        <v>59.42</v>
      </c>
      <c r="AY69" s="181">
        <f t="shared" si="17"/>
        <v>59.42</v>
      </c>
      <c r="AZ69" s="181">
        <f t="shared" si="17"/>
        <v>59.42</v>
      </c>
      <c r="BA69" s="181">
        <f t="shared" si="17"/>
        <v>59.42</v>
      </c>
      <c r="BB69" s="182">
        <f t="shared" si="17"/>
        <v>59.42</v>
      </c>
    </row>
    <row r="70" spans="2:54" x14ac:dyDescent="0.3">
      <c r="B70" s="28">
        <v>2036</v>
      </c>
      <c r="C70" s="179">
        <f t="shared" si="13"/>
        <v>0</v>
      </c>
      <c r="D70" s="180">
        <f t="shared" si="13"/>
        <v>0</v>
      </c>
      <c r="E70" s="180">
        <f t="shared" si="13"/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3"/>
        <v>0</v>
      </c>
      <c r="K70" s="180">
        <f t="shared" si="13"/>
        <v>0</v>
      </c>
      <c r="L70" s="180">
        <f t="shared" si="13"/>
        <v>0</v>
      </c>
      <c r="M70" s="180">
        <f t="shared" si="14"/>
        <v>0</v>
      </c>
      <c r="N70" s="180">
        <f t="shared" si="14"/>
        <v>0</v>
      </c>
      <c r="O70" s="180">
        <f t="shared" si="14"/>
        <v>0</v>
      </c>
      <c r="P70" s="180">
        <f t="shared" si="14"/>
        <v>0</v>
      </c>
      <c r="Q70" s="180">
        <f t="shared" si="14"/>
        <v>0</v>
      </c>
      <c r="R70" s="180">
        <f t="shared" si="14"/>
        <v>68.819999999999993</v>
      </c>
      <c r="S70" s="180">
        <f t="shared" si="14"/>
        <v>68.819999999999993</v>
      </c>
      <c r="T70" s="180">
        <f t="shared" si="14"/>
        <v>68.819999999999993</v>
      </c>
      <c r="U70" s="180">
        <f t="shared" si="14"/>
        <v>68.819999999999993</v>
      </c>
      <c r="V70" s="180">
        <f t="shared" si="14"/>
        <v>68.819999999999993</v>
      </c>
      <c r="W70" s="180">
        <f t="shared" si="15"/>
        <v>68.819999999999993</v>
      </c>
      <c r="X70" s="180">
        <f t="shared" si="15"/>
        <v>68.819999999999993</v>
      </c>
      <c r="Y70" s="180">
        <f t="shared" si="15"/>
        <v>68.819999999999993</v>
      </c>
      <c r="Z70" s="180">
        <f t="shared" si="15"/>
        <v>68.819999999999993</v>
      </c>
      <c r="AA70" s="180">
        <f t="shared" si="15"/>
        <v>68.819999999999993</v>
      </c>
      <c r="AB70" s="180">
        <f t="shared" si="15"/>
        <v>68.819999999999993</v>
      </c>
      <c r="AC70" s="180">
        <f t="shared" si="15"/>
        <v>68.819999999999993</v>
      </c>
      <c r="AD70" s="180">
        <f t="shared" si="15"/>
        <v>68.819999999999993</v>
      </c>
      <c r="AE70" s="180">
        <f t="shared" si="15"/>
        <v>68.819999999999993</v>
      </c>
      <c r="AF70" s="180">
        <f t="shared" si="15"/>
        <v>68.819999999999993</v>
      </c>
      <c r="AG70" s="180">
        <f t="shared" si="16"/>
        <v>68.819999999999993</v>
      </c>
      <c r="AH70" s="180">
        <f t="shared" si="16"/>
        <v>68.819999999999993</v>
      </c>
      <c r="AI70" s="181">
        <f t="shared" si="16"/>
        <v>68.819999999999993</v>
      </c>
      <c r="AJ70" s="181">
        <f t="shared" si="16"/>
        <v>68.819999999999993</v>
      </c>
      <c r="AK70" s="181">
        <f t="shared" si="16"/>
        <v>68.819999999999993</v>
      </c>
      <c r="AL70" s="181">
        <f t="shared" si="16"/>
        <v>59.42</v>
      </c>
      <c r="AM70" s="181">
        <f t="shared" si="16"/>
        <v>59.42</v>
      </c>
      <c r="AN70" s="181">
        <f t="shared" si="16"/>
        <v>59.42</v>
      </c>
      <c r="AO70" s="181">
        <f t="shared" si="16"/>
        <v>59.42</v>
      </c>
      <c r="AP70" s="181">
        <f t="shared" si="16"/>
        <v>59.42</v>
      </c>
      <c r="AQ70" s="181">
        <f t="shared" si="17"/>
        <v>59.42</v>
      </c>
      <c r="AR70" s="181">
        <f t="shared" si="17"/>
        <v>59.42</v>
      </c>
      <c r="AS70" s="181">
        <f t="shared" si="17"/>
        <v>59.42</v>
      </c>
      <c r="AT70" s="181">
        <f t="shared" si="17"/>
        <v>59.42</v>
      </c>
      <c r="AU70" s="181">
        <f t="shared" si="17"/>
        <v>59.42</v>
      </c>
      <c r="AV70" s="181">
        <f t="shared" si="17"/>
        <v>59.42</v>
      </c>
      <c r="AW70" s="181">
        <f t="shared" si="17"/>
        <v>59.42</v>
      </c>
      <c r="AX70" s="181">
        <f t="shared" si="17"/>
        <v>59.42</v>
      </c>
      <c r="AY70" s="181">
        <f t="shared" si="17"/>
        <v>59.42</v>
      </c>
      <c r="AZ70" s="181">
        <f t="shared" si="17"/>
        <v>59.42</v>
      </c>
      <c r="BA70" s="181">
        <f t="shared" si="17"/>
        <v>59.42</v>
      </c>
      <c r="BB70" s="182">
        <f t="shared" si="17"/>
        <v>59.42</v>
      </c>
    </row>
    <row r="71" spans="2:54" x14ac:dyDescent="0.3">
      <c r="B71" s="28">
        <v>2037</v>
      </c>
      <c r="C71" s="179">
        <f t="shared" si="13"/>
        <v>0</v>
      </c>
      <c r="D71" s="180">
        <f t="shared" si="13"/>
        <v>0</v>
      </c>
      <c r="E71" s="180">
        <f t="shared" si="13"/>
        <v>0</v>
      </c>
      <c r="F71" s="180">
        <f t="shared" si="13"/>
        <v>0</v>
      </c>
      <c r="G71" s="180">
        <f t="shared" si="13"/>
        <v>0</v>
      </c>
      <c r="H71" s="180">
        <f t="shared" si="13"/>
        <v>0</v>
      </c>
      <c r="I71" s="180">
        <f t="shared" si="13"/>
        <v>0</v>
      </c>
      <c r="J71" s="180">
        <f t="shared" si="13"/>
        <v>0</v>
      </c>
      <c r="K71" s="180">
        <f t="shared" si="13"/>
        <v>0</v>
      </c>
      <c r="L71" s="180">
        <f t="shared" si="13"/>
        <v>0</v>
      </c>
      <c r="M71" s="180">
        <f t="shared" si="14"/>
        <v>0</v>
      </c>
      <c r="N71" s="180">
        <f t="shared" si="14"/>
        <v>0</v>
      </c>
      <c r="O71" s="180">
        <f t="shared" si="14"/>
        <v>0</v>
      </c>
      <c r="P71" s="180">
        <f t="shared" si="14"/>
        <v>0</v>
      </c>
      <c r="Q71" s="180">
        <f t="shared" si="14"/>
        <v>0</v>
      </c>
      <c r="R71" s="180">
        <f t="shared" si="14"/>
        <v>0</v>
      </c>
      <c r="S71" s="180">
        <f t="shared" si="14"/>
        <v>68.259999999999991</v>
      </c>
      <c r="T71" s="180">
        <f t="shared" si="14"/>
        <v>68.259999999999991</v>
      </c>
      <c r="U71" s="180">
        <f t="shared" si="14"/>
        <v>68.259999999999991</v>
      </c>
      <c r="V71" s="180">
        <f t="shared" si="14"/>
        <v>68.259999999999991</v>
      </c>
      <c r="W71" s="180">
        <f t="shared" si="15"/>
        <v>68.259999999999991</v>
      </c>
      <c r="X71" s="180">
        <f t="shared" si="15"/>
        <v>68.259999999999991</v>
      </c>
      <c r="Y71" s="180">
        <f t="shared" si="15"/>
        <v>68.259999999999991</v>
      </c>
      <c r="Z71" s="180">
        <f t="shared" si="15"/>
        <v>68.259999999999991</v>
      </c>
      <c r="AA71" s="180">
        <f t="shared" si="15"/>
        <v>68.259999999999991</v>
      </c>
      <c r="AB71" s="180">
        <f t="shared" si="15"/>
        <v>68.259999999999991</v>
      </c>
      <c r="AC71" s="180">
        <f t="shared" si="15"/>
        <v>68.259999999999991</v>
      </c>
      <c r="AD71" s="180">
        <f t="shared" si="15"/>
        <v>68.259999999999991</v>
      </c>
      <c r="AE71" s="180">
        <f t="shared" si="15"/>
        <v>68.259999999999991</v>
      </c>
      <c r="AF71" s="180">
        <f t="shared" si="15"/>
        <v>68.259999999999991</v>
      </c>
      <c r="AG71" s="180">
        <f t="shared" si="16"/>
        <v>68.259999999999991</v>
      </c>
      <c r="AH71" s="180">
        <f t="shared" si="16"/>
        <v>68.259999999999991</v>
      </c>
      <c r="AI71" s="181">
        <f t="shared" si="16"/>
        <v>68.259999999999991</v>
      </c>
      <c r="AJ71" s="181">
        <f t="shared" si="16"/>
        <v>68.259999999999991</v>
      </c>
      <c r="AK71" s="181">
        <f t="shared" si="16"/>
        <v>68.259999999999991</v>
      </c>
      <c r="AL71" s="181">
        <f t="shared" si="16"/>
        <v>68.259999999999991</v>
      </c>
      <c r="AM71" s="181">
        <f t="shared" si="16"/>
        <v>59.42</v>
      </c>
      <c r="AN71" s="181">
        <f t="shared" si="16"/>
        <v>59.42</v>
      </c>
      <c r="AO71" s="181">
        <f t="shared" si="16"/>
        <v>59.42</v>
      </c>
      <c r="AP71" s="181">
        <f t="shared" si="16"/>
        <v>59.42</v>
      </c>
      <c r="AQ71" s="181">
        <f t="shared" si="17"/>
        <v>59.42</v>
      </c>
      <c r="AR71" s="181">
        <f t="shared" si="17"/>
        <v>59.42</v>
      </c>
      <c r="AS71" s="181">
        <f t="shared" si="17"/>
        <v>59.42</v>
      </c>
      <c r="AT71" s="181">
        <f t="shared" si="17"/>
        <v>59.42</v>
      </c>
      <c r="AU71" s="181">
        <f t="shared" si="17"/>
        <v>59.42</v>
      </c>
      <c r="AV71" s="181">
        <f t="shared" si="17"/>
        <v>59.42</v>
      </c>
      <c r="AW71" s="181">
        <f t="shared" si="17"/>
        <v>59.42</v>
      </c>
      <c r="AX71" s="181">
        <f t="shared" si="17"/>
        <v>59.42</v>
      </c>
      <c r="AY71" s="181">
        <f t="shared" si="17"/>
        <v>59.42</v>
      </c>
      <c r="AZ71" s="181">
        <f t="shared" si="17"/>
        <v>59.42</v>
      </c>
      <c r="BA71" s="181">
        <f t="shared" si="17"/>
        <v>59.42</v>
      </c>
      <c r="BB71" s="182">
        <f t="shared" si="17"/>
        <v>59.42</v>
      </c>
    </row>
    <row r="72" spans="2:54" x14ac:dyDescent="0.3">
      <c r="B72" s="28">
        <v>2038</v>
      </c>
      <c r="C72" s="179">
        <f t="shared" si="13"/>
        <v>0</v>
      </c>
      <c r="D72" s="180">
        <f t="shared" si="13"/>
        <v>0</v>
      </c>
      <c r="E72" s="180">
        <f t="shared" si="13"/>
        <v>0</v>
      </c>
      <c r="F72" s="180">
        <f t="shared" si="13"/>
        <v>0</v>
      </c>
      <c r="G72" s="180">
        <f t="shared" si="13"/>
        <v>0</v>
      </c>
      <c r="H72" s="180">
        <f t="shared" si="13"/>
        <v>0</v>
      </c>
      <c r="I72" s="180">
        <f t="shared" si="13"/>
        <v>0</v>
      </c>
      <c r="J72" s="180">
        <f t="shared" si="13"/>
        <v>0</v>
      </c>
      <c r="K72" s="180">
        <f t="shared" si="13"/>
        <v>0</v>
      </c>
      <c r="L72" s="180">
        <f t="shared" si="13"/>
        <v>0</v>
      </c>
      <c r="M72" s="180">
        <f t="shared" si="14"/>
        <v>0</v>
      </c>
      <c r="N72" s="180">
        <f t="shared" si="14"/>
        <v>0</v>
      </c>
      <c r="O72" s="180">
        <f t="shared" si="14"/>
        <v>0</v>
      </c>
      <c r="P72" s="180">
        <f t="shared" si="14"/>
        <v>0</v>
      </c>
      <c r="Q72" s="180">
        <f t="shared" si="14"/>
        <v>0</v>
      </c>
      <c r="R72" s="180">
        <f t="shared" si="14"/>
        <v>0</v>
      </c>
      <c r="S72" s="180">
        <f t="shared" si="14"/>
        <v>0</v>
      </c>
      <c r="T72" s="180">
        <f t="shared" si="14"/>
        <v>67.63000000000001</v>
      </c>
      <c r="U72" s="180">
        <f t="shared" si="14"/>
        <v>67.63000000000001</v>
      </c>
      <c r="V72" s="180">
        <f t="shared" si="14"/>
        <v>67.63000000000001</v>
      </c>
      <c r="W72" s="180">
        <f t="shared" si="15"/>
        <v>67.63000000000001</v>
      </c>
      <c r="X72" s="180">
        <f t="shared" si="15"/>
        <v>67.63000000000001</v>
      </c>
      <c r="Y72" s="180">
        <f t="shared" si="15"/>
        <v>67.63000000000001</v>
      </c>
      <c r="Z72" s="180">
        <f t="shared" si="15"/>
        <v>67.63000000000001</v>
      </c>
      <c r="AA72" s="180">
        <f t="shared" si="15"/>
        <v>67.63000000000001</v>
      </c>
      <c r="AB72" s="180">
        <f t="shared" si="15"/>
        <v>67.63000000000001</v>
      </c>
      <c r="AC72" s="180">
        <f t="shared" si="15"/>
        <v>67.63000000000001</v>
      </c>
      <c r="AD72" s="180">
        <f t="shared" si="15"/>
        <v>67.63000000000001</v>
      </c>
      <c r="AE72" s="180">
        <f t="shared" si="15"/>
        <v>67.63000000000001</v>
      </c>
      <c r="AF72" s="180">
        <f t="shared" si="15"/>
        <v>67.63000000000001</v>
      </c>
      <c r="AG72" s="180">
        <f t="shared" si="16"/>
        <v>67.63000000000001</v>
      </c>
      <c r="AH72" s="180">
        <f t="shared" si="16"/>
        <v>67.63000000000001</v>
      </c>
      <c r="AI72" s="181">
        <f t="shared" si="16"/>
        <v>67.63000000000001</v>
      </c>
      <c r="AJ72" s="181">
        <f t="shared" si="16"/>
        <v>67.63000000000001</v>
      </c>
      <c r="AK72" s="181">
        <f t="shared" si="16"/>
        <v>67.63000000000001</v>
      </c>
      <c r="AL72" s="181">
        <f t="shared" si="16"/>
        <v>67.63000000000001</v>
      </c>
      <c r="AM72" s="181">
        <f t="shared" si="16"/>
        <v>67.63000000000001</v>
      </c>
      <c r="AN72" s="181">
        <f t="shared" si="16"/>
        <v>59.42</v>
      </c>
      <c r="AO72" s="181">
        <f t="shared" si="16"/>
        <v>59.42</v>
      </c>
      <c r="AP72" s="181">
        <f t="shared" si="16"/>
        <v>59.42</v>
      </c>
      <c r="AQ72" s="181">
        <f t="shared" si="17"/>
        <v>59.42</v>
      </c>
      <c r="AR72" s="181">
        <f t="shared" si="17"/>
        <v>59.42</v>
      </c>
      <c r="AS72" s="181">
        <f t="shared" si="17"/>
        <v>59.42</v>
      </c>
      <c r="AT72" s="181">
        <f t="shared" si="17"/>
        <v>59.42</v>
      </c>
      <c r="AU72" s="181">
        <f t="shared" si="17"/>
        <v>59.42</v>
      </c>
      <c r="AV72" s="181">
        <f t="shared" si="17"/>
        <v>59.42</v>
      </c>
      <c r="AW72" s="181">
        <f t="shared" si="17"/>
        <v>59.42</v>
      </c>
      <c r="AX72" s="181">
        <f t="shared" si="17"/>
        <v>59.42</v>
      </c>
      <c r="AY72" s="181">
        <f t="shared" si="17"/>
        <v>59.42</v>
      </c>
      <c r="AZ72" s="181">
        <f t="shared" si="17"/>
        <v>59.42</v>
      </c>
      <c r="BA72" s="181">
        <f t="shared" si="17"/>
        <v>59.42</v>
      </c>
      <c r="BB72" s="182">
        <f t="shared" si="17"/>
        <v>59.42</v>
      </c>
    </row>
    <row r="73" spans="2:54" x14ac:dyDescent="0.3">
      <c r="B73" s="28">
        <v>2039</v>
      </c>
      <c r="C73" s="179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H73" s="180">
        <f t="shared" si="13"/>
        <v>0</v>
      </c>
      <c r="I73" s="180">
        <f t="shared" si="13"/>
        <v>0</v>
      </c>
      <c r="J73" s="180">
        <f t="shared" si="13"/>
        <v>0</v>
      </c>
      <c r="K73" s="180">
        <f t="shared" si="13"/>
        <v>0</v>
      </c>
      <c r="L73" s="180">
        <f t="shared" si="13"/>
        <v>0</v>
      </c>
      <c r="M73" s="180">
        <f t="shared" si="14"/>
        <v>0</v>
      </c>
      <c r="N73" s="180">
        <f t="shared" si="14"/>
        <v>0</v>
      </c>
      <c r="O73" s="180">
        <f t="shared" si="14"/>
        <v>0</v>
      </c>
      <c r="P73" s="180">
        <f t="shared" si="14"/>
        <v>0</v>
      </c>
      <c r="Q73" s="180">
        <f t="shared" si="14"/>
        <v>0</v>
      </c>
      <c r="R73" s="180">
        <f t="shared" si="14"/>
        <v>0</v>
      </c>
      <c r="S73" s="180">
        <f t="shared" si="14"/>
        <v>0</v>
      </c>
      <c r="T73" s="180">
        <f t="shared" si="14"/>
        <v>0</v>
      </c>
      <c r="U73" s="180">
        <f t="shared" si="14"/>
        <v>67.27000000000001</v>
      </c>
      <c r="V73" s="180">
        <f t="shared" si="14"/>
        <v>67.27000000000001</v>
      </c>
      <c r="W73" s="180">
        <f t="shared" si="15"/>
        <v>67.27000000000001</v>
      </c>
      <c r="X73" s="180">
        <f t="shared" si="15"/>
        <v>67.27000000000001</v>
      </c>
      <c r="Y73" s="180">
        <f t="shared" si="15"/>
        <v>67.27000000000001</v>
      </c>
      <c r="Z73" s="180">
        <f t="shared" si="15"/>
        <v>67.27000000000001</v>
      </c>
      <c r="AA73" s="180">
        <f t="shared" si="15"/>
        <v>67.27000000000001</v>
      </c>
      <c r="AB73" s="180">
        <f t="shared" si="15"/>
        <v>67.27000000000001</v>
      </c>
      <c r="AC73" s="180">
        <f t="shared" si="15"/>
        <v>67.27000000000001</v>
      </c>
      <c r="AD73" s="180">
        <f t="shared" si="15"/>
        <v>67.27000000000001</v>
      </c>
      <c r="AE73" s="180">
        <f t="shared" si="15"/>
        <v>67.27000000000001</v>
      </c>
      <c r="AF73" s="180">
        <f t="shared" si="15"/>
        <v>67.27000000000001</v>
      </c>
      <c r="AG73" s="180">
        <f t="shared" si="16"/>
        <v>67.27000000000001</v>
      </c>
      <c r="AH73" s="180">
        <f t="shared" si="16"/>
        <v>67.27000000000001</v>
      </c>
      <c r="AI73" s="181">
        <f t="shared" si="16"/>
        <v>67.27000000000001</v>
      </c>
      <c r="AJ73" s="181">
        <f t="shared" si="16"/>
        <v>67.27000000000001</v>
      </c>
      <c r="AK73" s="181">
        <f t="shared" si="16"/>
        <v>67.27000000000001</v>
      </c>
      <c r="AL73" s="181">
        <f t="shared" si="16"/>
        <v>67.27000000000001</v>
      </c>
      <c r="AM73" s="181">
        <f t="shared" si="16"/>
        <v>67.27000000000001</v>
      </c>
      <c r="AN73" s="181">
        <f t="shared" si="16"/>
        <v>67.27000000000001</v>
      </c>
      <c r="AO73" s="181">
        <f t="shared" si="16"/>
        <v>59.42</v>
      </c>
      <c r="AP73" s="181">
        <f t="shared" si="16"/>
        <v>59.42</v>
      </c>
      <c r="AQ73" s="181">
        <f t="shared" si="17"/>
        <v>59.42</v>
      </c>
      <c r="AR73" s="181">
        <f t="shared" si="17"/>
        <v>59.42</v>
      </c>
      <c r="AS73" s="181">
        <f t="shared" si="17"/>
        <v>59.42</v>
      </c>
      <c r="AT73" s="181">
        <f t="shared" si="17"/>
        <v>59.42</v>
      </c>
      <c r="AU73" s="181">
        <f t="shared" si="17"/>
        <v>59.42</v>
      </c>
      <c r="AV73" s="181">
        <f t="shared" si="17"/>
        <v>59.42</v>
      </c>
      <c r="AW73" s="181">
        <f t="shared" si="17"/>
        <v>59.42</v>
      </c>
      <c r="AX73" s="181">
        <f t="shared" si="17"/>
        <v>59.42</v>
      </c>
      <c r="AY73" s="181">
        <f t="shared" si="17"/>
        <v>59.42</v>
      </c>
      <c r="AZ73" s="181">
        <f t="shared" si="17"/>
        <v>59.42</v>
      </c>
      <c r="BA73" s="181">
        <f t="shared" si="17"/>
        <v>59.42</v>
      </c>
      <c r="BB73" s="182">
        <f t="shared" si="17"/>
        <v>59.42</v>
      </c>
    </row>
    <row r="74" spans="2:54" x14ac:dyDescent="0.3">
      <c r="B74" s="28">
        <v>2040</v>
      </c>
      <c r="C74" s="179">
        <f t="shared" si="13"/>
        <v>0</v>
      </c>
      <c r="D74" s="180">
        <f t="shared" si="13"/>
        <v>0</v>
      </c>
      <c r="E74" s="180">
        <f t="shared" si="13"/>
        <v>0</v>
      </c>
      <c r="F74" s="180">
        <f t="shared" si="13"/>
        <v>0</v>
      </c>
      <c r="G74" s="180">
        <f t="shared" si="13"/>
        <v>0</v>
      </c>
      <c r="H74" s="180">
        <f t="shared" si="13"/>
        <v>0</v>
      </c>
      <c r="I74" s="180">
        <f t="shared" si="13"/>
        <v>0</v>
      </c>
      <c r="J74" s="180">
        <f t="shared" si="13"/>
        <v>0</v>
      </c>
      <c r="K74" s="180">
        <f t="shared" si="13"/>
        <v>0</v>
      </c>
      <c r="L74" s="180">
        <f t="shared" si="13"/>
        <v>0</v>
      </c>
      <c r="M74" s="180">
        <f t="shared" si="14"/>
        <v>0</v>
      </c>
      <c r="N74" s="180">
        <f t="shared" si="14"/>
        <v>0</v>
      </c>
      <c r="O74" s="180">
        <f t="shared" si="14"/>
        <v>0</v>
      </c>
      <c r="P74" s="180">
        <f t="shared" si="14"/>
        <v>0</v>
      </c>
      <c r="Q74" s="180">
        <f t="shared" si="14"/>
        <v>0</v>
      </c>
      <c r="R74" s="180">
        <f t="shared" si="14"/>
        <v>0</v>
      </c>
      <c r="S74" s="180">
        <f t="shared" si="14"/>
        <v>0</v>
      </c>
      <c r="T74" s="180">
        <f t="shared" si="14"/>
        <v>0</v>
      </c>
      <c r="U74" s="180">
        <f t="shared" si="14"/>
        <v>0</v>
      </c>
      <c r="V74" s="180">
        <f t="shared" si="14"/>
        <v>66.42</v>
      </c>
      <c r="W74" s="180">
        <f t="shared" si="15"/>
        <v>66.42</v>
      </c>
      <c r="X74" s="180">
        <f t="shared" si="15"/>
        <v>66.42</v>
      </c>
      <c r="Y74" s="180">
        <f t="shared" si="15"/>
        <v>66.42</v>
      </c>
      <c r="Z74" s="180">
        <f t="shared" si="15"/>
        <v>66.42</v>
      </c>
      <c r="AA74" s="180">
        <f t="shared" si="15"/>
        <v>66.42</v>
      </c>
      <c r="AB74" s="180">
        <f t="shared" si="15"/>
        <v>66.42</v>
      </c>
      <c r="AC74" s="180">
        <f t="shared" si="15"/>
        <v>66.42</v>
      </c>
      <c r="AD74" s="180">
        <f t="shared" si="15"/>
        <v>66.42</v>
      </c>
      <c r="AE74" s="180">
        <f t="shared" si="15"/>
        <v>66.42</v>
      </c>
      <c r="AF74" s="180">
        <f t="shared" si="15"/>
        <v>66.42</v>
      </c>
      <c r="AG74" s="180">
        <f t="shared" si="16"/>
        <v>66.42</v>
      </c>
      <c r="AH74" s="180">
        <f t="shared" si="16"/>
        <v>66.42</v>
      </c>
      <c r="AI74" s="181">
        <f t="shared" si="16"/>
        <v>66.42</v>
      </c>
      <c r="AJ74" s="181">
        <f t="shared" si="16"/>
        <v>66.42</v>
      </c>
      <c r="AK74" s="181">
        <f t="shared" si="16"/>
        <v>66.42</v>
      </c>
      <c r="AL74" s="181">
        <f t="shared" si="16"/>
        <v>66.42</v>
      </c>
      <c r="AM74" s="181">
        <f t="shared" si="16"/>
        <v>66.42</v>
      </c>
      <c r="AN74" s="181">
        <f t="shared" si="16"/>
        <v>66.42</v>
      </c>
      <c r="AO74" s="181">
        <f t="shared" si="16"/>
        <v>66.42</v>
      </c>
      <c r="AP74" s="181">
        <f t="shared" si="16"/>
        <v>59.42</v>
      </c>
      <c r="AQ74" s="181">
        <f t="shared" si="17"/>
        <v>59.42</v>
      </c>
      <c r="AR74" s="181">
        <f t="shared" si="17"/>
        <v>59.42</v>
      </c>
      <c r="AS74" s="181">
        <f t="shared" si="17"/>
        <v>59.42</v>
      </c>
      <c r="AT74" s="181">
        <f t="shared" si="17"/>
        <v>59.42</v>
      </c>
      <c r="AU74" s="181">
        <f t="shared" si="17"/>
        <v>59.42</v>
      </c>
      <c r="AV74" s="181">
        <f t="shared" si="17"/>
        <v>59.42</v>
      </c>
      <c r="AW74" s="181">
        <f t="shared" si="17"/>
        <v>59.42</v>
      </c>
      <c r="AX74" s="181">
        <f t="shared" si="17"/>
        <v>59.42</v>
      </c>
      <c r="AY74" s="181">
        <f t="shared" si="17"/>
        <v>59.42</v>
      </c>
      <c r="AZ74" s="181">
        <f t="shared" si="17"/>
        <v>59.42</v>
      </c>
      <c r="BA74" s="181">
        <f t="shared" si="17"/>
        <v>59.42</v>
      </c>
      <c r="BB74" s="182">
        <f t="shared" si="17"/>
        <v>59.42</v>
      </c>
    </row>
    <row r="75" spans="2:54" x14ac:dyDescent="0.3">
      <c r="B75" s="28">
        <v>2041</v>
      </c>
      <c r="C75" s="179">
        <f t="shared" ref="C75:L86" si="18">CHOOSE(IF(C$54&lt;$B75,1,IF(C$2&gt;=$B75+lifetime, 3, 2)), 0, INDEX($C$6:$AH$6,MATCH(MIN(MAX($C$2:$AH$2),$B75+INT((C$54-$B75)/lifetime)*lifetime),$C$2:$AH$2)), INDEX($C$7:$AH$7,MATCH($B75,$C$2:$AF$2,0)))</f>
        <v>0</v>
      </c>
      <c r="D75" s="180">
        <f t="shared" si="18"/>
        <v>0</v>
      </c>
      <c r="E75" s="180">
        <f t="shared" si="18"/>
        <v>0</v>
      </c>
      <c r="F75" s="180">
        <f t="shared" si="18"/>
        <v>0</v>
      </c>
      <c r="G75" s="180">
        <f t="shared" si="18"/>
        <v>0</v>
      </c>
      <c r="H75" s="180">
        <f t="shared" si="18"/>
        <v>0</v>
      </c>
      <c r="I75" s="180">
        <f t="shared" si="18"/>
        <v>0</v>
      </c>
      <c r="J75" s="180">
        <f t="shared" si="18"/>
        <v>0</v>
      </c>
      <c r="K75" s="180">
        <f t="shared" si="18"/>
        <v>0</v>
      </c>
      <c r="L75" s="180">
        <f t="shared" si="18"/>
        <v>0</v>
      </c>
      <c r="M75" s="180">
        <f t="shared" ref="M75:V86" si="19">CHOOSE(IF(M$54&lt;$B75,1,IF(M$2&gt;=$B75+lifetime, 3, 2)), 0, INDEX($C$6:$AH$6,MATCH(MIN(MAX($C$2:$AH$2),$B75+INT((M$54-$B75)/lifetime)*lifetime),$C$2:$AH$2)), INDEX($C$7:$AH$7,MATCH($B75,$C$2:$AF$2,0)))</f>
        <v>0</v>
      </c>
      <c r="N75" s="180">
        <f t="shared" si="19"/>
        <v>0</v>
      </c>
      <c r="O75" s="180">
        <f t="shared" si="19"/>
        <v>0</v>
      </c>
      <c r="P75" s="180">
        <f t="shared" si="19"/>
        <v>0</v>
      </c>
      <c r="Q75" s="180">
        <f t="shared" si="19"/>
        <v>0</v>
      </c>
      <c r="R75" s="180">
        <f t="shared" si="19"/>
        <v>0</v>
      </c>
      <c r="S75" s="180">
        <f t="shared" si="19"/>
        <v>0</v>
      </c>
      <c r="T75" s="180">
        <f t="shared" si="19"/>
        <v>0</v>
      </c>
      <c r="U75" s="180">
        <f t="shared" si="19"/>
        <v>0</v>
      </c>
      <c r="V75" s="180">
        <f t="shared" si="19"/>
        <v>0</v>
      </c>
      <c r="W75" s="180">
        <f t="shared" ref="W75:AF86" si="20">CHOOSE(IF(W$54&lt;$B75,1,IF(W$2&gt;=$B75+lifetime, 3, 2)), 0, INDEX($C$6:$AH$6,MATCH(MIN(MAX($C$2:$AH$2),$B75+INT((W$54-$B75)/lifetime)*lifetime),$C$2:$AH$2)), INDEX($C$7:$AH$7,MATCH($B75,$C$2:$AF$2,0)))</f>
        <v>65.66</v>
      </c>
      <c r="X75" s="180">
        <f t="shared" si="20"/>
        <v>65.66</v>
      </c>
      <c r="Y75" s="180">
        <f t="shared" si="20"/>
        <v>65.66</v>
      </c>
      <c r="Z75" s="180">
        <f t="shared" si="20"/>
        <v>65.66</v>
      </c>
      <c r="AA75" s="180">
        <f t="shared" si="20"/>
        <v>65.66</v>
      </c>
      <c r="AB75" s="180">
        <f t="shared" si="20"/>
        <v>65.66</v>
      </c>
      <c r="AC75" s="180">
        <f t="shared" si="20"/>
        <v>65.66</v>
      </c>
      <c r="AD75" s="180">
        <f t="shared" si="20"/>
        <v>65.66</v>
      </c>
      <c r="AE75" s="180">
        <f t="shared" si="20"/>
        <v>65.66</v>
      </c>
      <c r="AF75" s="180">
        <f t="shared" si="20"/>
        <v>65.66</v>
      </c>
      <c r="AG75" s="180">
        <f t="shared" ref="AG75:AP86" si="21">CHOOSE(IF(AG$54&lt;$B75,1,IF(AG$2&gt;=$B75+lifetime, 3, 2)), 0, INDEX($C$6:$AH$6,MATCH(MIN(MAX($C$2:$AH$2),$B75+INT((AG$54-$B75)/lifetime)*lifetime),$C$2:$AH$2)), INDEX($C$7:$AH$7,MATCH($B75,$C$2:$AF$2,0)))</f>
        <v>65.66</v>
      </c>
      <c r="AH75" s="180">
        <f t="shared" si="21"/>
        <v>65.66</v>
      </c>
      <c r="AI75" s="181">
        <f t="shared" si="21"/>
        <v>65.66</v>
      </c>
      <c r="AJ75" s="181">
        <f t="shared" si="21"/>
        <v>65.66</v>
      </c>
      <c r="AK75" s="181">
        <f t="shared" si="21"/>
        <v>65.66</v>
      </c>
      <c r="AL75" s="181">
        <f t="shared" si="21"/>
        <v>65.66</v>
      </c>
      <c r="AM75" s="181">
        <f t="shared" si="21"/>
        <v>65.66</v>
      </c>
      <c r="AN75" s="181">
        <f t="shared" si="21"/>
        <v>65.66</v>
      </c>
      <c r="AO75" s="181">
        <f t="shared" si="21"/>
        <v>65.66</v>
      </c>
      <c r="AP75" s="181">
        <f t="shared" si="21"/>
        <v>65.66</v>
      </c>
      <c r="AQ75" s="181">
        <f t="shared" ref="AQ75:BB86" si="22">CHOOSE(IF(AQ$54&lt;$B75,1,IF(AQ$2&gt;=$B75+lifetime, 3, 2)), 0, INDEX($C$6:$AH$6,MATCH(MIN(MAX($C$2:$AH$2),$B75+INT((AQ$54-$B75)/lifetime)*lifetime),$C$2:$AH$2)), INDEX($C$7:$AH$7,MATCH($B75,$C$2:$AF$2,0)))</f>
        <v>59.42</v>
      </c>
      <c r="AR75" s="181">
        <f t="shared" si="22"/>
        <v>59.42</v>
      </c>
      <c r="AS75" s="181">
        <f t="shared" si="22"/>
        <v>59.42</v>
      </c>
      <c r="AT75" s="181">
        <f t="shared" si="22"/>
        <v>59.42</v>
      </c>
      <c r="AU75" s="181">
        <f t="shared" si="22"/>
        <v>59.42</v>
      </c>
      <c r="AV75" s="181">
        <f t="shared" si="22"/>
        <v>59.42</v>
      </c>
      <c r="AW75" s="181">
        <f t="shared" si="22"/>
        <v>59.42</v>
      </c>
      <c r="AX75" s="181">
        <f t="shared" si="22"/>
        <v>59.42</v>
      </c>
      <c r="AY75" s="181">
        <f t="shared" si="22"/>
        <v>59.42</v>
      </c>
      <c r="AZ75" s="181">
        <f t="shared" si="22"/>
        <v>59.42</v>
      </c>
      <c r="BA75" s="181">
        <f t="shared" si="22"/>
        <v>59.42</v>
      </c>
      <c r="BB75" s="182">
        <f t="shared" si="22"/>
        <v>59.42</v>
      </c>
    </row>
    <row r="76" spans="2:54" x14ac:dyDescent="0.3">
      <c r="B76" s="28">
        <v>2042</v>
      </c>
      <c r="C76" s="179">
        <f t="shared" si="18"/>
        <v>0</v>
      </c>
      <c r="D76" s="180">
        <f t="shared" si="18"/>
        <v>0</v>
      </c>
      <c r="E76" s="180">
        <f t="shared" si="18"/>
        <v>0</v>
      </c>
      <c r="F76" s="180">
        <f t="shared" si="18"/>
        <v>0</v>
      </c>
      <c r="G76" s="180">
        <f t="shared" si="18"/>
        <v>0</v>
      </c>
      <c r="H76" s="180">
        <f t="shared" si="18"/>
        <v>0</v>
      </c>
      <c r="I76" s="180">
        <f t="shared" si="18"/>
        <v>0</v>
      </c>
      <c r="J76" s="180">
        <f t="shared" si="18"/>
        <v>0</v>
      </c>
      <c r="K76" s="180">
        <f t="shared" si="18"/>
        <v>0</v>
      </c>
      <c r="L76" s="180">
        <f t="shared" si="18"/>
        <v>0</v>
      </c>
      <c r="M76" s="180">
        <f t="shared" si="19"/>
        <v>0</v>
      </c>
      <c r="N76" s="180">
        <f t="shared" si="19"/>
        <v>0</v>
      </c>
      <c r="O76" s="180">
        <f t="shared" si="19"/>
        <v>0</v>
      </c>
      <c r="P76" s="180">
        <f t="shared" si="19"/>
        <v>0</v>
      </c>
      <c r="Q76" s="180">
        <f t="shared" si="19"/>
        <v>0</v>
      </c>
      <c r="R76" s="180">
        <f t="shared" si="19"/>
        <v>0</v>
      </c>
      <c r="S76" s="180">
        <f t="shared" si="19"/>
        <v>0</v>
      </c>
      <c r="T76" s="180">
        <f t="shared" si="19"/>
        <v>0</v>
      </c>
      <c r="U76" s="180">
        <f t="shared" si="19"/>
        <v>0</v>
      </c>
      <c r="V76" s="180">
        <f t="shared" si="19"/>
        <v>0</v>
      </c>
      <c r="W76" s="180">
        <f t="shared" si="20"/>
        <v>0</v>
      </c>
      <c r="X76" s="180">
        <f t="shared" si="20"/>
        <v>65.239999999999995</v>
      </c>
      <c r="Y76" s="180">
        <f t="shared" si="20"/>
        <v>65.239999999999995</v>
      </c>
      <c r="Z76" s="180">
        <f t="shared" si="20"/>
        <v>65.239999999999995</v>
      </c>
      <c r="AA76" s="180">
        <f t="shared" si="20"/>
        <v>65.239999999999995</v>
      </c>
      <c r="AB76" s="180">
        <f t="shared" si="20"/>
        <v>65.239999999999995</v>
      </c>
      <c r="AC76" s="180">
        <f t="shared" si="20"/>
        <v>65.239999999999995</v>
      </c>
      <c r="AD76" s="180">
        <f t="shared" si="20"/>
        <v>65.239999999999995</v>
      </c>
      <c r="AE76" s="180">
        <f t="shared" si="20"/>
        <v>65.239999999999995</v>
      </c>
      <c r="AF76" s="180">
        <f t="shared" si="20"/>
        <v>65.239999999999995</v>
      </c>
      <c r="AG76" s="180">
        <f t="shared" si="21"/>
        <v>65.239999999999995</v>
      </c>
      <c r="AH76" s="180">
        <f t="shared" si="21"/>
        <v>65.239999999999995</v>
      </c>
      <c r="AI76" s="181">
        <f t="shared" si="21"/>
        <v>65.239999999999995</v>
      </c>
      <c r="AJ76" s="181">
        <f t="shared" si="21"/>
        <v>65.239999999999995</v>
      </c>
      <c r="AK76" s="181">
        <f t="shared" si="21"/>
        <v>65.239999999999995</v>
      </c>
      <c r="AL76" s="181">
        <f t="shared" si="21"/>
        <v>65.239999999999995</v>
      </c>
      <c r="AM76" s="181">
        <f t="shared" si="21"/>
        <v>65.239999999999995</v>
      </c>
      <c r="AN76" s="181">
        <f t="shared" si="21"/>
        <v>65.239999999999995</v>
      </c>
      <c r="AO76" s="181">
        <f t="shared" si="21"/>
        <v>65.239999999999995</v>
      </c>
      <c r="AP76" s="181">
        <f t="shared" si="21"/>
        <v>65.239999999999995</v>
      </c>
      <c r="AQ76" s="181">
        <f t="shared" si="22"/>
        <v>65.239999999999995</v>
      </c>
      <c r="AR76" s="181">
        <f t="shared" si="22"/>
        <v>59.42</v>
      </c>
      <c r="AS76" s="181">
        <f t="shared" si="22"/>
        <v>59.42</v>
      </c>
      <c r="AT76" s="181">
        <f t="shared" si="22"/>
        <v>59.42</v>
      </c>
      <c r="AU76" s="181">
        <f t="shared" si="22"/>
        <v>59.42</v>
      </c>
      <c r="AV76" s="181">
        <f t="shared" si="22"/>
        <v>59.42</v>
      </c>
      <c r="AW76" s="181">
        <f t="shared" si="22"/>
        <v>59.42</v>
      </c>
      <c r="AX76" s="181">
        <f t="shared" si="22"/>
        <v>59.42</v>
      </c>
      <c r="AY76" s="181">
        <f t="shared" si="22"/>
        <v>59.42</v>
      </c>
      <c r="AZ76" s="181">
        <f t="shared" si="22"/>
        <v>59.42</v>
      </c>
      <c r="BA76" s="181">
        <f t="shared" si="22"/>
        <v>59.42</v>
      </c>
      <c r="BB76" s="182">
        <f t="shared" si="22"/>
        <v>59.42</v>
      </c>
    </row>
    <row r="77" spans="2:54" x14ac:dyDescent="0.3">
      <c r="B77" s="28">
        <v>2043</v>
      </c>
      <c r="C77" s="179">
        <f t="shared" si="18"/>
        <v>0</v>
      </c>
      <c r="D77" s="180">
        <f t="shared" si="18"/>
        <v>0</v>
      </c>
      <c r="E77" s="180">
        <f t="shared" si="18"/>
        <v>0</v>
      </c>
      <c r="F77" s="180">
        <f t="shared" si="18"/>
        <v>0</v>
      </c>
      <c r="G77" s="180">
        <f t="shared" si="18"/>
        <v>0</v>
      </c>
      <c r="H77" s="180">
        <f t="shared" si="18"/>
        <v>0</v>
      </c>
      <c r="I77" s="180">
        <f t="shared" si="18"/>
        <v>0</v>
      </c>
      <c r="J77" s="180">
        <f t="shared" si="18"/>
        <v>0</v>
      </c>
      <c r="K77" s="180">
        <f t="shared" si="18"/>
        <v>0</v>
      </c>
      <c r="L77" s="180">
        <f t="shared" si="18"/>
        <v>0</v>
      </c>
      <c r="M77" s="180">
        <f t="shared" si="19"/>
        <v>0</v>
      </c>
      <c r="N77" s="180">
        <f t="shared" si="19"/>
        <v>0</v>
      </c>
      <c r="O77" s="180">
        <f t="shared" si="19"/>
        <v>0</v>
      </c>
      <c r="P77" s="180">
        <f t="shared" si="19"/>
        <v>0</v>
      </c>
      <c r="Q77" s="180">
        <f t="shared" si="19"/>
        <v>0</v>
      </c>
      <c r="R77" s="180">
        <f t="shared" si="19"/>
        <v>0</v>
      </c>
      <c r="S77" s="180">
        <f t="shared" si="19"/>
        <v>0</v>
      </c>
      <c r="T77" s="180">
        <f t="shared" si="19"/>
        <v>0</v>
      </c>
      <c r="U77" s="180">
        <f t="shared" si="19"/>
        <v>0</v>
      </c>
      <c r="V77" s="180">
        <f t="shared" si="19"/>
        <v>0</v>
      </c>
      <c r="W77" s="180">
        <f t="shared" si="20"/>
        <v>0</v>
      </c>
      <c r="X77" s="180">
        <f t="shared" si="20"/>
        <v>0</v>
      </c>
      <c r="Y77" s="180">
        <f t="shared" si="20"/>
        <v>64.37</v>
      </c>
      <c r="Z77" s="180">
        <f t="shared" si="20"/>
        <v>64.37</v>
      </c>
      <c r="AA77" s="180">
        <f t="shared" si="20"/>
        <v>64.37</v>
      </c>
      <c r="AB77" s="180">
        <f t="shared" si="20"/>
        <v>64.37</v>
      </c>
      <c r="AC77" s="180">
        <f t="shared" si="20"/>
        <v>64.37</v>
      </c>
      <c r="AD77" s="180">
        <f t="shared" si="20"/>
        <v>64.37</v>
      </c>
      <c r="AE77" s="180">
        <f t="shared" si="20"/>
        <v>64.37</v>
      </c>
      <c r="AF77" s="180">
        <f t="shared" si="20"/>
        <v>64.37</v>
      </c>
      <c r="AG77" s="180">
        <f t="shared" si="21"/>
        <v>64.37</v>
      </c>
      <c r="AH77" s="180">
        <f t="shared" si="21"/>
        <v>64.37</v>
      </c>
      <c r="AI77" s="181">
        <f t="shared" si="21"/>
        <v>64.37</v>
      </c>
      <c r="AJ77" s="181">
        <f t="shared" si="21"/>
        <v>64.37</v>
      </c>
      <c r="AK77" s="181">
        <f t="shared" si="21"/>
        <v>64.37</v>
      </c>
      <c r="AL77" s="181">
        <f t="shared" si="21"/>
        <v>64.37</v>
      </c>
      <c r="AM77" s="181">
        <f t="shared" si="21"/>
        <v>64.37</v>
      </c>
      <c r="AN77" s="181">
        <f t="shared" si="21"/>
        <v>64.37</v>
      </c>
      <c r="AO77" s="181">
        <f t="shared" si="21"/>
        <v>64.37</v>
      </c>
      <c r="AP77" s="181">
        <f t="shared" si="21"/>
        <v>64.37</v>
      </c>
      <c r="AQ77" s="181">
        <f t="shared" si="22"/>
        <v>64.37</v>
      </c>
      <c r="AR77" s="181">
        <f t="shared" si="22"/>
        <v>64.37</v>
      </c>
      <c r="AS77" s="181">
        <f t="shared" si="22"/>
        <v>59.42</v>
      </c>
      <c r="AT77" s="181">
        <f t="shared" si="22"/>
        <v>59.42</v>
      </c>
      <c r="AU77" s="181">
        <f t="shared" si="22"/>
        <v>59.42</v>
      </c>
      <c r="AV77" s="181">
        <f t="shared" si="22"/>
        <v>59.42</v>
      </c>
      <c r="AW77" s="181">
        <f t="shared" si="22"/>
        <v>59.42</v>
      </c>
      <c r="AX77" s="181">
        <f t="shared" si="22"/>
        <v>59.42</v>
      </c>
      <c r="AY77" s="181">
        <f t="shared" si="22"/>
        <v>59.42</v>
      </c>
      <c r="AZ77" s="181">
        <f t="shared" si="22"/>
        <v>59.42</v>
      </c>
      <c r="BA77" s="181">
        <f t="shared" si="22"/>
        <v>59.42</v>
      </c>
      <c r="BB77" s="182">
        <f t="shared" si="22"/>
        <v>59.42</v>
      </c>
    </row>
    <row r="78" spans="2:54" x14ac:dyDescent="0.3">
      <c r="B78" s="28">
        <v>2044</v>
      </c>
      <c r="C78" s="179">
        <f t="shared" si="18"/>
        <v>0</v>
      </c>
      <c r="D78" s="180">
        <f t="shared" si="18"/>
        <v>0</v>
      </c>
      <c r="E78" s="180">
        <f t="shared" si="18"/>
        <v>0</v>
      </c>
      <c r="F78" s="180">
        <f t="shared" si="18"/>
        <v>0</v>
      </c>
      <c r="G78" s="180">
        <f t="shared" si="18"/>
        <v>0</v>
      </c>
      <c r="H78" s="180">
        <f t="shared" si="18"/>
        <v>0</v>
      </c>
      <c r="I78" s="180">
        <f t="shared" si="18"/>
        <v>0</v>
      </c>
      <c r="J78" s="180">
        <f t="shared" si="18"/>
        <v>0</v>
      </c>
      <c r="K78" s="180">
        <f t="shared" si="18"/>
        <v>0</v>
      </c>
      <c r="L78" s="180">
        <f t="shared" si="18"/>
        <v>0</v>
      </c>
      <c r="M78" s="180">
        <f t="shared" si="19"/>
        <v>0</v>
      </c>
      <c r="N78" s="180">
        <f t="shared" si="19"/>
        <v>0</v>
      </c>
      <c r="O78" s="180">
        <f t="shared" si="19"/>
        <v>0</v>
      </c>
      <c r="P78" s="180">
        <f t="shared" si="19"/>
        <v>0</v>
      </c>
      <c r="Q78" s="180">
        <f t="shared" si="19"/>
        <v>0</v>
      </c>
      <c r="R78" s="180">
        <f t="shared" si="19"/>
        <v>0</v>
      </c>
      <c r="S78" s="180">
        <f t="shared" si="19"/>
        <v>0</v>
      </c>
      <c r="T78" s="180">
        <f t="shared" si="19"/>
        <v>0</v>
      </c>
      <c r="U78" s="180">
        <f t="shared" si="19"/>
        <v>0</v>
      </c>
      <c r="V78" s="180">
        <f t="shared" si="19"/>
        <v>0</v>
      </c>
      <c r="W78" s="180">
        <f t="shared" si="20"/>
        <v>0</v>
      </c>
      <c r="X78" s="180">
        <f t="shared" si="20"/>
        <v>0</v>
      </c>
      <c r="Y78" s="180">
        <f t="shared" si="20"/>
        <v>0</v>
      </c>
      <c r="Z78" s="180">
        <f t="shared" si="20"/>
        <v>63.94</v>
      </c>
      <c r="AA78" s="180">
        <f t="shared" si="20"/>
        <v>63.94</v>
      </c>
      <c r="AB78" s="180">
        <f t="shared" si="20"/>
        <v>63.94</v>
      </c>
      <c r="AC78" s="180">
        <f t="shared" si="20"/>
        <v>63.94</v>
      </c>
      <c r="AD78" s="180">
        <f t="shared" si="20"/>
        <v>63.94</v>
      </c>
      <c r="AE78" s="180">
        <f t="shared" si="20"/>
        <v>63.94</v>
      </c>
      <c r="AF78" s="180">
        <f t="shared" si="20"/>
        <v>63.94</v>
      </c>
      <c r="AG78" s="180">
        <f t="shared" si="21"/>
        <v>63.94</v>
      </c>
      <c r="AH78" s="180">
        <f t="shared" si="21"/>
        <v>63.94</v>
      </c>
      <c r="AI78" s="181">
        <f t="shared" si="21"/>
        <v>63.94</v>
      </c>
      <c r="AJ78" s="181">
        <f t="shared" si="21"/>
        <v>63.94</v>
      </c>
      <c r="AK78" s="181">
        <f t="shared" si="21"/>
        <v>63.94</v>
      </c>
      <c r="AL78" s="181">
        <f t="shared" si="21"/>
        <v>63.94</v>
      </c>
      <c r="AM78" s="181">
        <f t="shared" si="21"/>
        <v>63.94</v>
      </c>
      <c r="AN78" s="181">
        <f t="shared" si="21"/>
        <v>63.94</v>
      </c>
      <c r="AO78" s="181">
        <f t="shared" si="21"/>
        <v>63.94</v>
      </c>
      <c r="AP78" s="181">
        <f t="shared" si="21"/>
        <v>63.94</v>
      </c>
      <c r="AQ78" s="181">
        <f t="shared" si="22"/>
        <v>63.94</v>
      </c>
      <c r="AR78" s="181">
        <f t="shared" si="22"/>
        <v>63.94</v>
      </c>
      <c r="AS78" s="181">
        <f t="shared" si="22"/>
        <v>63.94</v>
      </c>
      <c r="AT78" s="181">
        <f t="shared" si="22"/>
        <v>59.42</v>
      </c>
      <c r="AU78" s="181">
        <f t="shared" si="22"/>
        <v>59.42</v>
      </c>
      <c r="AV78" s="181">
        <f t="shared" si="22"/>
        <v>59.42</v>
      </c>
      <c r="AW78" s="181">
        <f t="shared" si="22"/>
        <v>59.42</v>
      </c>
      <c r="AX78" s="181">
        <f t="shared" si="22"/>
        <v>59.42</v>
      </c>
      <c r="AY78" s="181">
        <f t="shared" si="22"/>
        <v>59.42</v>
      </c>
      <c r="AZ78" s="181">
        <f t="shared" si="22"/>
        <v>59.42</v>
      </c>
      <c r="BA78" s="181">
        <f t="shared" si="22"/>
        <v>59.42</v>
      </c>
      <c r="BB78" s="182">
        <f t="shared" si="22"/>
        <v>59.42</v>
      </c>
    </row>
    <row r="79" spans="2:54" x14ac:dyDescent="0.3">
      <c r="B79" s="28">
        <v>2045</v>
      </c>
      <c r="C79" s="179">
        <f t="shared" si="18"/>
        <v>0</v>
      </c>
      <c r="D79" s="180">
        <f t="shared" si="18"/>
        <v>0</v>
      </c>
      <c r="E79" s="180">
        <f t="shared" si="18"/>
        <v>0</v>
      </c>
      <c r="F79" s="180">
        <f t="shared" si="18"/>
        <v>0</v>
      </c>
      <c r="G79" s="180">
        <f t="shared" si="18"/>
        <v>0</v>
      </c>
      <c r="H79" s="180">
        <f t="shared" si="18"/>
        <v>0</v>
      </c>
      <c r="I79" s="180">
        <f t="shared" si="18"/>
        <v>0</v>
      </c>
      <c r="J79" s="180">
        <f t="shared" si="18"/>
        <v>0</v>
      </c>
      <c r="K79" s="180">
        <f t="shared" si="18"/>
        <v>0</v>
      </c>
      <c r="L79" s="180">
        <f t="shared" si="18"/>
        <v>0</v>
      </c>
      <c r="M79" s="180">
        <f t="shared" si="19"/>
        <v>0</v>
      </c>
      <c r="N79" s="180">
        <f t="shared" si="19"/>
        <v>0</v>
      </c>
      <c r="O79" s="180">
        <f t="shared" si="19"/>
        <v>0</v>
      </c>
      <c r="P79" s="180">
        <f t="shared" si="19"/>
        <v>0</v>
      </c>
      <c r="Q79" s="180">
        <f t="shared" si="19"/>
        <v>0</v>
      </c>
      <c r="R79" s="180">
        <f t="shared" si="19"/>
        <v>0</v>
      </c>
      <c r="S79" s="180">
        <f t="shared" si="19"/>
        <v>0</v>
      </c>
      <c r="T79" s="180">
        <f t="shared" si="19"/>
        <v>0</v>
      </c>
      <c r="U79" s="180">
        <f t="shared" si="19"/>
        <v>0</v>
      </c>
      <c r="V79" s="180">
        <f t="shared" si="19"/>
        <v>0</v>
      </c>
      <c r="W79" s="180">
        <f t="shared" si="20"/>
        <v>0</v>
      </c>
      <c r="X79" s="180">
        <f t="shared" si="20"/>
        <v>0</v>
      </c>
      <c r="Y79" s="180">
        <f t="shared" si="20"/>
        <v>0</v>
      </c>
      <c r="Z79" s="180">
        <f t="shared" si="20"/>
        <v>0</v>
      </c>
      <c r="AA79" s="180">
        <f t="shared" si="20"/>
        <v>63.12</v>
      </c>
      <c r="AB79" s="180">
        <f t="shared" si="20"/>
        <v>63.12</v>
      </c>
      <c r="AC79" s="180">
        <f t="shared" si="20"/>
        <v>63.12</v>
      </c>
      <c r="AD79" s="180">
        <f t="shared" si="20"/>
        <v>63.12</v>
      </c>
      <c r="AE79" s="180">
        <f t="shared" si="20"/>
        <v>63.12</v>
      </c>
      <c r="AF79" s="180">
        <f t="shared" si="20"/>
        <v>63.12</v>
      </c>
      <c r="AG79" s="180">
        <f t="shared" si="21"/>
        <v>63.12</v>
      </c>
      <c r="AH79" s="180">
        <f t="shared" si="21"/>
        <v>63.12</v>
      </c>
      <c r="AI79" s="181">
        <f t="shared" si="21"/>
        <v>63.12</v>
      </c>
      <c r="AJ79" s="181">
        <f t="shared" si="21"/>
        <v>63.12</v>
      </c>
      <c r="AK79" s="181">
        <f t="shared" si="21"/>
        <v>63.12</v>
      </c>
      <c r="AL79" s="181">
        <f t="shared" si="21"/>
        <v>63.12</v>
      </c>
      <c r="AM79" s="181">
        <f t="shared" si="21"/>
        <v>63.12</v>
      </c>
      <c r="AN79" s="181">
        <f t="shared" si="21"/>
        <v>63.12</v>
      </c>
      <c r="AO79" s="181">
        <f t="shared" si="21"/>
        <v>63.12</v>
      </c>
      <c r="AP79" s="181">
        <f t="shared" si="21"/>
        <v>63.12</v>
      </c>
      <c r="AQ79" s="181">
        <f t="shared" si="22"/>
        <v>63.12</v>
      </c>
      <c r="AR79" s="181">
        <f t="shared" si="22"/>
        <v>63.12</v>
      </c>
      <c r="AS79" s="181">
        <f t="shared" si="22"/>
        <v>63.12</v>
      </c>
      <c r="AT79" s="181">
        <f t="shared" si="22"/>
        <v>63.12</v>
      </c>
      <c r="AU79" s="181">
        <f t="shared" si="22"/>
        <v>59.42</v>
      </c>
      <c r="AV79" s="181">
        <f t="shared" si="22"/>
        <v>59.42</v>
      </c>
      <c r="AW79" s="181">
        <f t="shared" si="22"/>
        <v>59.42</v>
      </c>
      <c r="AX79" s="181">
        <f t="shared" si="22"/>
        <v>59.42</v>
      </c>
      <c r="AY79" s="181">
        <f t="shared" si="22"/>
        <v>59.42</v>
      </c>
      <c r="AZ79" s="181">
        <f t="shared" si="22"/>
        <v>59.42</v>
      </c>
      <c r="BA79" s="181">
        <f t="shared" si="22"/>
        <v>59.42</v>
      </c>
      <c r="BB79" s="182">
        <f t="shared" si="22"/>
        <v>59.42</v>
      </c>
    </row>
    <row r="80" spans="2:54" x14ac:dyDescent="0.3">
      <c r="B80" s="28">
        <v>2046</v>
      </c>
      <c r="C80" s="179">
        <f t="shared" si="18"/>
        <v>0</v>
      </c>
      <c r="D80" s="180">
        <f t="shared" si="18"/>
        <v>0</v>
      </c>
      <c r="E80" s="180">
        <f t="shared" si="18"/>
        <v>0</v>
      </c>
      <c r="F80" s="180">
        <f t="shared" si="18"/>
        <v>0</v>
      </c>
      <c r="G80" s="180">
        <f t="shared" si="18"/>
        <v>0</v>
      </c>
      <c r="H80" s="180">
        <f t="shared" si="18"/>
        <v>0</v>
      </c>
      <c r="I80" s="180">
        <f t="shared" si="18"/>
        <v>0</v>
      </c>
      <c r="J80" s="180">
        <f t="shared" si="18"/>
        <v>0</v>
      </c>
      <c r="K80" s="180">
        <f t="shared" si="18"/>
        <v>0</v>
      </c>
      <c r="L80" s="180">
        <f t="shared" si="18"/>
        <v>0</v>
      </c>
      <c r="M80" s="180">
        <f t="shared" si="19"/>
        <v>0</v>
      </c>
      <c r="N80" s="180">
        <f t="shared" si="19"/>
        <v>0</v>
      </c>
      <c r="O80" s="180">
        <f t="shared" si="19"/>
        <v>0</v>
      </c>
      <c r="P80" s="180">
        <f t="shared" si="19"/>
        <v>0</v>
      </c>
      <c r="Q80" s="180">
        <f t="shared" si="19"/>
        <v>0</v>
      </c>
      <c r="R80" s="180">
        <f t="shared" si="19"/>
        <v>0</v>
      </c>
      <c r="S80" s="180">
        <f t="shared" si="19"/>
        <v>0</v>
      </c>
      <c r="T80" s="180">
        <f t="shared" si="19"/>
        <v>0</v>
      </c>
      <c r="U80" s="180">
        <f t="shared" si="19"/>
        <v>0</v>
      </c>
      <c r="V80" s="180">
        <f t="shared" si="19"/>
        <v>0</v>
      </c>
      <c r="W80" s="180">
        <f t="shared" si="20"/>
        <v>0</v>
      </c>
      <c r="X80" s="180">
        <f t="shared" si="20"/>
        <v>0</v>
      </c>
      <c r="Y80" s="180">
        <f t="shared" si="20"/>
        <v>0</v>
      </c>
      <c r="Z80" s="180">
        <f t="shared" si="20"/>
        <v>0</v>
      </c>
      <c r="AA80" s="180">
        <f t="shared" si="20"/>
        <v>0</v>
      </c>
      <c r="AB80" s="180">
        <f t="shared" si="20"/>
        <v>62.290000000000006</v>
      </c>
      <c r="AC80" s="180">
        <f t="shared" si="20"/>
        <v>62.290000000000006</v>
      </c>
      <c r="AD80" s="180">
        <f t="shared" si="20"/>
        <v>62.290000000000006</v>
      </c>
      <c r="AE80" s="180">
        <f t="shared" si="20"/>
        <v>62.290000000000006</v>
      </c>
      <c r="AF80" s="180">
        <f t="shared" si="20"/>
        <v>62.290000000000006</v>
      </c>
      <c r="AG80" s="180">
        <f t="shared" si="21"/>
        <v>62.290000000000006</v>
      </c>
      <c r="AH80" s="180">
        <f t="shared" si="21"/>
        <v>62.290000000000006</v>
      </c>
      <c r="AI80" s="181">
        <f t="shared" si="21"/>
        <v>62.290000000000006</v>
      </c>
      <c r="AJ80" s="181">
        <f t="shared" si="21"/>
        <v>62.290000000000006</v>
      </c>
      <c r="AK80" s="181">
        <f t="shared" si="21"/>
        <v>62.290000000000006</v>
      </c>
      <c r="AL80" s="181">
        <f t="shared" si="21"/>
        <v>62.290000000000006</v>
      </c>
      <c r="AM80" s="181">
        <f t="shared" si="21"/>
        <v>62.290000000000006</v>
      </c>
      <c r="AN80" s="181">
        <f t="shared" si="21"/>
        <v>62.290000000000006</v>
      </c>
      <c r="AO80" s="181">
        <f t="shared" si="21"/>
        <v>62.290000000000006</v>
      </c>
      <c r="AP80" s="181">
        <f t="shared" si="21"/>
        <v>62.290000000000006</v>
      </c>
      <c r="AQ80" s="181">
        <f t="shared" si="22"/>
        <v>62.290000000000006</v>
      </c>
      <c r="AR80" s="181">
        <f t="shared" si="22"/>
        <v>62.290000000000006</v>
      </c>
      <c r="AS80" s="181">
        <f t="shared" si="22"/>
        <v>62.290000000000006</v>
      </c>
      <c r="AT80" s="181">
        <f t="shared" si="22"/>
        <v>62.290000000000006</v>
      </c>
      <c r="AU80" s="181">
        <f t="shared" si="22"/>
        <v>62.290000000000006</v>
      </c>
      <c r="AV80" s="181">
        <f t="shared" si="22"/>
        <v>59.42</v>
      </c>
      <c r="AW80" s="181">
        <f t="shared" si="22"/>
        <v>59.42</v>
      </c>
      <c r="AX80" s="181">
        <f t="shared" si="22"/>
        <v>59.42</v>
      </c>
      <c r="AY80" s="181">
        <f t="shared" si="22"/>
        <v>59.42</v>
      </c>
      <c r="AZ80" s="181">
        <f t="shared" si="22"/>
        <v>59.42</v>
      </c>
      <c r="BA80" s="181">
        <f t="shared" si="22"/>
        <v>59.42</v>
      </c>
      <c r="BB80" s="182">
        <f t="shared" si="22"/>
        <v>59.42</v>
      </c>
    </row>
    <row r="81" spans="2:55" x14ac:dyDescent="0.3">
      <c r="B81" s="28">
        <v>2047</v>
      </c>
      <c r="C81" s="179">
        <f t="shared" si="18"/>
        <v>0</v>
      </c>
      <c r="D81" s="180">
        <f t="shared" si="18"/>
        <v>0</v>
      </c>
      <c r="E81" s="180">
        <f t="shared" si="18"/>
        <v>0</v>
      </c>
      <c r="F81" s="180">
        <f t="shared" si="18"/>
        <v>0</v>
      </c>
      <c r="G81" s="180">
        <f t="shared" si="18"/>
        <v>0</v>
      </c>
      <c r="H81" s="180">
        <f t="shared" si="18"/>
        <v>0</v>
      </c>
      <c r="I81" s="180">
        <f t="shared" si="18"/>
        <v>0</v>
      </c>
      <c r="J81" s="180">
        <f t="shared" si="18"/>
        <v>0</v>
      </c>
      <c r="K81" s="180">
        <f t="shared" si="18"/>
        <v>0</v>
      </c>
      <c r="L81" s="180">
        <f t="shared" si="18"/>
        <v>0</v>
      </c>
      <c r="M81" s="180">
        <f t="shared" si="19"/>
        <v>0</v>
      </c>
      <c r="N81" s="180">
        <f t="shared" si="19"/>
        <v>0</v>
      </c>
      <c r="O81" s="180">
        <f t="shared" si="19"/>
        <v>0</v>
      </c>
      <c r="P81" s="180">
        <f t="shared" si="19"/>
        <v>0</v>
      </c>
      <c r="Q81" s="180">
        <f t="shared" si="19"/>
        <v>0</v>
      </c>
      <c r="R81" s="180">
        <f t="shared" si="19"/>
        <v>0</v>
      </c>
      <c r="S81" s="180">
        <f t="shared" si="19"/>
        <v>0</v>
      </c>
      <c r="T81" s="180">
        <f t="shared" si="19"/>
        <v>0</v>
      </c>
      <c r="U81" s="180">
        <f t="shared" si="19"/>
        <v>0</v>
      </c>
      <c r="V81" s="180">
        <f t="shared" si="19"/>
        <v>0</v>
      </c>
      <c r="W81" s="180">
        <f t="shared" si="20"/>
        <v>0</v>
      </c>
      <c r="X81" s="180">
        <f t="shared" si="20"/>
        <v>0</v>
      </c>
      <c r="Y81" s="180">
        <f t="shared" si="20"/>
        <v>0</v>
      </c>
      <c r="Z81" s="180">
        <f t="shared" si="20"/>
        <v>0</v>
      </c>
      <c r="AA81" s="180">
        <f t="shared" si="20"/>
        <v>0</v>
      </c>
      <c r="AB81" s="180">
        <f t="shared" si="20"/>
        <v>0</v>
      </c>
      <c r="AC81" s="180">
        <f t="shared" si="20"/>
        <v>61.769999999999996</v>
      </c>
      <c r="AD81" s="180">
        <f t="shared" si="20"/>
        <v>61.769999999999996</v>
      </c>
      <c r="AE81" s="180">
        <f t="shared" si="20"/>
        <v>61.769999999999996</v>
      </c>
      <c r="AF81" s="180">
        <f t="shared" si="20"/>
        <v>61.769999999999996</v>
      </c>
      <c r="AG81" s="180">
        <f t="shared" si="21"/>
        <v>61.769999999999996</v>
      </c>
      <c r="AH81" s="180">
        <f t="shared" si="21"/>
        <v>61.769999999999996</v>
      </c>
      <c r="AI81" s="181">
        <f t="shared" si="21"/>
        <v>61.769999999999996</v>
      </c>
      <c r="AJ81" s="181">
        <f t="shared" si="21"/>
        <v>61.769999999999996</v>
      </c>
      <c r="AK81" s="181">
        <f t="shared" si="21"/>
        <v>61.769999999999996</v>
      </c>
      <c r="AL81" s="181">
        <f t="shared" si="21"/>
        <v>61.769999999999996</v>
      </c>
      <c r="AM81" s="181">
        <f t="shared" si="21"/>
        <v>61.769999999999996</v>
      </c>
      <c r="AN81" s="181">
        <f t="shared" si="21"/>
        <v>61.769999999999996</v>
      </c>
      <c r="AO81" s="181">
        <f t="shared" si="21"/>
        <v>61.769999999999996</v>
      </c>
      <c r="AP81" s="181">
        <f t="shared" si="21"/>
        <v>61.769999999999996</v>
      </c>
      <c r="AQ81" s="181">
        <f t="shared" si="22"/>
        <v>61.769999999999996</v>
      </c>
      <c r="AR81" s="181">
        <f t="shared" si="22"/>
        <v>61.769999999999996</v>
      </c>
      <c r="AS81" s="181">
        <f t="shared" si="22"/>
        <v>61.769999999999996</v>
      </c>
      <c r="AT81" s="181">
        <f t="shared" si="22"/>
        <v>61.769999999999996</v>
      </c>
      <c r="AU81" s="181">
        <f t="shared" si="22"/>
        <v>61.769999999999996</v>
      </c>
      <c r="AV81" s="181">
        <f t="shared" si="22"/>
        <v>61.769999999999996</v>
      </c>
      <c r="AW81" s="181">
        <f t="shared" si="22"/>
        <v>59.42</v>
      </c>
      <c r="AX81" s="181">
        <f t="shared" si="22"/>
        <v>59.42</v>
      </c>
      <c r="AY81" s="181">
        <f t="shared" si="22"/>
        <v>59.42</v>
      </c>
      <c r="AZ81" s="181">
        <f t="shared" si="22"/>
        <v>59.42</v>
      </c>
      <c r="BA81" s="181">
        <f t="shared" si="22"/>
        <v>59.42</v>
      </c>
      <c r="BB81" s="182">
        <f t="shared" si="22"/>
        <v>59.42</v>
      </c>
    </row>
    <row r="82" spans="2:55" x14ac:dyDescent="0.3">
      <c r="B82" s="28">
        <v>2048</v>
      </c>
      <c r="C82" s="179">
        <f t="shared" si="18"/>
        <v>0</v>
      </c>
      <c r="D82" s="180">
        <f t="shared" si="18"/>
        <v>0</v>
      </c>
      <c r="E82" s="180">
        <f t="shared" si="18"/>
        <v>0</v>
      </c>
      <c r="F82" s="180">
        <f t="shared" si="18"/>
        <v>0</v>
      </c>
      <c r="G82" s="180">
        <f t="shared" si="18"/>
        <v>0</v>
      </c>
      <c r="H82" s="180">
        <f t="shared" si="18"/>
        <v>0</v>
      </c>
      <c r="I82" s="180">
        <f t="shared" si="18"/>
        <v>0</v>
      </c>
      <c r="J82" s="180">
        <f t="shared" si="18"/>
        <v>0</v>
      </c>
      <c r="K82" s="180">
        <f t="shared" si="18"/>
        <v>0</v>
      </c>
      <c r="L82" s="180">
        <f t="shared" si="18"/>
        <v>0</v>
      </c>
      <c r="M82" s="180">
        <f t="shared" si="19"/>
        <v>0</v>
      </c>
      <c r="N82" s="180">
        <f t="shared" si="19"/>
        <v>0</v>
      </c>
      <c r="O82" s="180">
        <f t="shared" si="19"/>
        <v>0</v>
      </c>
      <c r="P82" s="180">
        <f t="shared" si="19"/>
        <v>0</v>
      </c>
      <c r="Q82" s="180">
        <f t="shared" si="19"/>
        <v>0</v>
      </c>
      <c r="R82" s="180">
        <f t="shared" si="19"/>
        <v>0</v>
      </c>
      <c r="S82" s="180">
        <f t="shared" si="19"/>
        <v>0</v>
      </c>
      <c r="T82" s="180">
        <f t="shared" si="19"/>
        <v>0</v>
      </c>
      <c r="U82" s="180">
        <f t="shared" si="19"/>
        <v>0</v>
      </c>
      <c r="V82" s="180">
        <f t="shared" si="19"/>
        <v>0</v>
      </c>
      <c r="W82" s="180">
        <f t="shared" si="20"/>
        <v>0</v>
      </c>
      <c r="X82" s="180">
        <f t="shared" si="20"/>
        <v>0</v>
      </c>
      <c r="Y82" s="180">
        <f t="shared" si="20"/>
        <v>0</v>
      </c>
      <c r="Z82" s="180">
        <f t="shared" si="20"/>
        <v>0</v>
      </c>
      <c r="AA82" s="180">
        <f t="shared" si="20"/>
        <v>0</v>
      </c>
      <c r="AB82" s="180">
        <f t="shared" si="20"/>
        <v>0</v>
      </c>
      <c r="AC82" s="180">
        <f t="shared" si="20"/>
        <v>0</v>
      </c>
      <c r="AD82" s="180">
        <f t="shared" si="20"/>
        <v>60.879999999999995</v>
      </c>
      <c r="AE82" s="180">
        <f t="shared" si="20"/>
        <v>60.879999999999995</v>
      </c>
      <c r="AF82" s="180">
        <f t="shared" si="20"/>
        <v>60.879999999999995</v>
      </c>
      <c r="AG82" s="180">
        <f t="shared" si="21"/>
        <v>60.879999999999995</v>
      </c>
      <c r="AH82" s="180">
        <f t="shared" si="21"/>
        <v>60.879999999999995</v>
      </c>
      <c r="AI82" s="181">
        <f t="shared" si="21"/>
        <v>60.879999999999995</v>
      </c>
      <c r="AJ82" s="181">
        <f t="shared" si="21"/>
        <v>60.879999999999995</v>
      </c>
      <c r="AK82" s="181">
        <f t="shared" si="21"/>
        <v>60.879999999999995</v>
      </c>
      <c r="AL82" s="181">
        <f t="shared" si="21"/>
        <v>60.879999999999995</v>
      </c>
      <c r="AM82" s="181">
        <f t="shared" si="21"/>
        <v>60.879999999999995</v>
      </c>
      <c r="AN82" s="181">
        <f t="shared" si="21"/>
        <v>60.879999999999995</v>
      </c>
      <c r="AO82" s="181">
        <f t="shared" si="21"/>
        <v>60.879999999999995</v>
      </c>
      <c r="AP82" s="181">
        <f t="shared" si="21"/>
        <v>60.879999999999995</v>
      </c>
      <c r="AQ82" s="181">
        <f t="shared" si="22"/>
        <v>60.879999999999995</v>
      </c>
      <c r="AR82" s="181">
        <f t="shared" si="22"/>
        <v>60.879999999999995</v>
      </c>
      <c r="AS82" s="181">
        <f t="shared" si="22"/>
        <v>60.879999999999995</v>
      </c>
      <c r="AT82" s="181">
        <f t="shared" si="22"/>
        <v>60.879999999999995</v>
      </c>
      <c r="AU82" s="181">
        <f t="shared" si="22"/>
        <v>60.879999999999995</v>
      </c>
      <c r="AV82" s="181">
        <f t="shared" si="22"/>
        <v>60.879999999999995</v>
      </c>
      <c r="AW82" s="181">
        <f t="shared" si="22"/>
        <v>60.879999999999995</v>
      </c>
      <c r="AX82" s="181">
        <f t="shared" si="22"/>
        <v>59.42</v>
      </c>
      <c r="AY82" s="181">
        <f t="shared" si="22"/>
        <v>59.42</v>
      </c>
      <c r="AZ82" s="181">
        <f t="shared" si="22"/>
        <v>59.42</v>
      </c>
      <c r="BA82" s="181">
        <f t="shared" si="22"/>
        <v>59.42</v>
      </c>
      <c r="BB82" s="182">
        <f t="shared" si="22"/>
        <v>59.42</v>
      </c>
    </row>
    <row r="83" spans="2:55" x14ac:dyDescent="0.3">
      <c r="B83" s="28">
        <v>2049</v>
      </c>
      <c r="C83" s="179">
        <f t="shared" si="18"/>
        <v>0</v>
      </c>
      <c r="D83" s="180">
        <f t="shared" si="18"/>
        <v>0</v>
      </c>
      <c r="E83" s="180">
        <f t="shared" si="18"/>
        <v>0</v>
      </c>
      <c r="F83" s="180">
        <f t="shared" si="18"/>
        <v>0</v>
      </c>
      <c r="G83" s="180">
        <f t="shared" si="18"/>
        <v>0</v>
      </c>
      <c r="H83" s="180">
        <f t="shared" si="18"/>
        <v>0</v>
      </c>
      <c r="I83" s="180">
        <f t="shared" si="18"/>
        <v>0</v>
      </c>
      <c r="J83" s="180">
        <f t="shared" si="18"/>
        <v>0</v>
      </c>
      <c r="K83" s="180">
        <f t="shared" si="18"/>
        <v>0</v>
      </c>
      <c r="L83" s="180">
        <f t="shared" si="18"/>
        <v>0</v>
      </c>
      <c r="M83" s="180">
        <f t="shared" si="19"/>
        <v>0</v>
      </c>
      <c r="N83" s="180">
        <f t="shared" si="19"/>
        <v>0</v>
      </c>
      <c r="O83" s="180">
        <f t="shared" si="19"/>
        <v>0</v>
      </c>
      <c r="P83" s="180">
        <f t="shared" si="19"/>
        <v>0</v>
      </c>
      <c r="Q83" s="180">
        <f t="shared" si="19"/>
        <v>0</v>
      </c>
      <c r="R83" s="180">
        <f t="shared" si="19"/>
        <v>0</v>
      </c>
      <c r="S83" s="180">
        <f t="shared" si="19"/>
        <v>0</v>
      </c>
      <c r="T83" s="180">
        <f t="shared" si="19"/>
        <v>0</v>
      </c>
      <c r="U83" s="180">
        <f t="shared" si="19"/>
        <v>0</v>
      </c>
      <c r="V83" s="180">
        <f t="shared" si="19"/>
        <v>0</v>
      </c>
      <c r="W83" s="180">
        <f t="shared" si="20"/>
        <v>0</v>
      </c>
      <c r="X83" s="180">
        <f t="shared" si="20"/>
        <v>0</v>
      </c>
      <c r="Y83" s="180">
        <f t="shared" si="20"/>
        <v>0</v>
      </c>
      <c r="Z83" s="180">
        <f t="shared" si="20"/>
        <v>0</v>
      </c>
      <c r="AA83" s="180">
        <f t="shared" si="20"/>
        <v>0</v>
      </c>
      <c r="AB83" s="180">
        <f t="shared" si="20"/>
        <v>0</v>
      </c>
      <c r="AC83" s="180">
        <f t="shared" si="20"/>
        <v>0</v>
      </c>
      <c r="AD83" s="180">
        <f t="shared" si="20"/>
        <v>0</v>
      </c>
      <c r="AE83" s="180">
        <f t="shared" si="20"/>
        <v>60.25</v>
      </c>
      <c r="AF83" s="180">
        <f t="shared" si="20"/>
        <v>60.25</v>
      </c>
      <c r="AG83" s="180">
        <f t="shared" si="21"/>
        <v>60.25</v>
      </c>
      <c r="AH83" s="180">
        <f t="shared" si="21"/>
        <v>60.25</v>
      </c>
      <c r="AI83" s="181">
        <f t="shared" si="21"/>
        <v>60.25</v>
      </c>
      <c r="AJ83" s="181">
        <f t="shared" si="21"/>
        <v>60.25</v>
      </c>
      <c r="AK83" s="181">
        <f t="shared" si="21"/>
        <v>60.25</v>
      </c>
      <c r="AL83" s="181">
        <f t="shared" si="21"/>
        <v>60.25</v>
      </c>
      <c r="AM83" s="181">
        <f t="shared" si="21"/>
        <v>60.25</v>
      </c>
      <c r="AN83" s="181">
        <f t="shared" si="21"/>
        <v>60.25</v>
      </c>
      <c r="AO83" s="181">
        <f t="shared" si="21"/>
        <v>60.25</v>
      </c>
      <c r="AP83" s="181">
        <f t="shared" si="21"/>
        <v>60.25</v>
      </c>
      <c r="AQ83" s="181">
        <f t="shared" si="22"/>
        <v>60.25</v>
      </c>
      <c r="AR83" s="181">
        <f t="shared" si="22"/>
        <v>60.25</v>
      </c>
      <c r="AS83" s="181">
        <f t="shared" si="22"/>
        <v>60.25</v>
      </c>
      <c r="AT83" s="181">
        <f t="shared" si="22"/>
        <v>60.25</v>
      </c>
      <c r="AU83" s="181">
        <f t="shared" si="22"/>
        <v>60.25</v>
      </c>
      <c r="AV83" s="181">
        <f t="shared" si="22"/>
        <v>60.25</v>
      </c>
      <c r="AW83" s="181">
        <f t="shared" si="22"/>
        <v>60.25</v>
      </c>
      <c r="AX83" s="181">
        <f t="shared" si="22"/>
        <v>60.25</v>
      </c>
      <c r="AY83" s="181">
        <f t="shared" si="22"/>
        <v>59.42</v>
      </c>
      <c r="AZ83" s="181">
        <f t="shared" si="22"/>
        <v>59.42</v>
      </c>
      <c r="BA83" s="181">
        <f t="shared" si="22"/>
        <v>59.42</v>
      </c>
      <c r="BB83" s="182">
        <f t="shared" si="22"/>
        <v>59.42</v>
      </c>
    </row>
    <row r="84" spans="2:55" x14ac:dyDescent="0.3">
      <c r="B84" s="28">
        <v>2050</v>
      </c>
      <c r="C84" s="179">
        <f t="shared" si="18"/>
        <v>0</v>
      </c>
      <c r="D84" s="180">
        <f t="shared" si="18"/>
        <v>0</v>
      </c>
      <c r="E84" s="180">
        <f t="shared" si="18"/>
        <v>0</v>
      </c>
      <c r="F84" s="180">
        <f t="shared" si="18"/>
        <v>0</v>
      </c>
      <c r="G84" s="180">
        <f t="shared" si="18"/>
        <v>0</v>
      </c>
      <c r="H84" s="180">
        <f t="shared" si="18"/>
        <v>0</v>
      </c>
      <c r="I84" s="180">
        <f t="shared" si="18"/>
        <v>0</v>
      </c>
      <c r="J84" s="180">
        <f t="shared" si="18"/>
        <v>0</v>
      </c>
      <c r="K84" s="180">
        <f t="shared" si="18"/>
        <v>0</v>
      </c>
      <c r="L84" s="180">
        <f t="shared" si="18"/>
        <v>0</v>
      </c>
      <c r="M84" s="180">
        <f t="shared" si="19"/>
        <v>0</v>
      </c>
      <c r="N84" s="180">
        <f t="shared" si="19"/>
        <v>0</v>
      </c>
      <c r="O84" s="180">
        <f t="shared" si="19"/>
        <v>0</v>
      </c>
      <c r="P84" s="180">
        <f t="shared" si="19"/>
        <v>0</v>
      </c>
      <c r="Q84" s="180">
        <f t="shared" si="19"/>
        <v>0</v>
      </c>
      <c r="R84" s="180">
        <f t="shared" si="19"/>
        <v>0</v>
      </c>
      <c r="S84" s="180">
        <f t="shared" si="19"/>
        <v>0</v>
      </c>
      <c r="T84" s="180">
        <f t="shared" si="19"/>
        <v>0</v>
      </c>
      <c r="U84" s="180">
        <f t="shared" si="19"/>
        <v>0</v>
      </c>
      <c r="V84" s="180">
        <f t="shared" si="19"/>
        <v>0</v>
      </c>
      <c r="W84" s="180">
        <f t="shared" si="20"/>
        <v>0</v>
      </c>
      <c r="X84" s="180">
        <f t="shared" si="20"/>
        <v>0</v>
      </c>
      <c r="Y84" s="180">
        <f t="shared" si="20"/>
        <v>0</v>
      </c>
      <c r="Z84" s="180">
        <f t="shared" si="20"/>
        <v>0</v>
      </c>
      <c r="AA84" s="180">
        <f t="shared" si="20"/>
        <v>0</v>
      </c>
      <c r="AB84" s="180">
        <f t="shared" si="20"/>
        <v>0</v>
      </c>
      <c r="AC84" s="180">
        <f t="shared" si="20"/>
        <v>0</v>
      </c>
      <c r="AD84" s="180">
        <f t="shared" si="20"/>
        <v>0</v>
      </c>
      <c r="AE84" s="180">
        <f t="shared" si="20"/>
        <v>0</v>
      </c>
      <c r="AF84" s="180">
        <f t="shared" si="20"/>
        <v>59.42</v>
      </c>
      <c r="AG84" s="180">
        <f t="shared" si="21"/>
        <v>59.42</v>
      </c>
      <c r="AH84" s="180">
        <f t="shared" si="21"/>
        <v>59.42</v>
      </c>
      <c r="AI84" s="181">
        <f t="shared" si="21"/>
        <v>59.42</v>
      </c>
      <c r="AJ84" s="181">
        <f t="shared" si="21"/>
        <v>59.42</v>
      </c>
      <c r="AK84" s="181">
        <f t="shared" si="21"/>
        <v>59.42</v>
      </c>
      <c r="AL84" s="181">
        <f t="shared" si="21"/>
        <v>59.42</v>
      </c>
      <c r="AM84" s="181">
        <f t="shared" si="21"/>
        <v>59.42</v>
      </c>
      <c r="AN84" s="181">
        <f t="shared" si="21"/>
        <v>59.42</v>
      </c>
      <c r="AO84" s="181">
        <f t="shared" si="21"/>
        <v>59.42</v>
      </c>
      <c r="AP84" s="181">
        <f t="shared" si="21"/>
        <v>59.42</v>
      </c>
      <c r="AQ84" s="181">
        <f t="shared" si="22"/>
        <v>59.42</v>
      </c>
      <c r="AR84" s="181">
        <f t="shared" si="22"/>
        <v>59.42</v>
      </c>
      <c r="AS84" s="181">
        <f t="shared" si="22"/>
        <v>59.42</v>
      </c>
      <c r="AT84" s="181">
        <f t="shared" si="22"/>
        <v>59.42</v>
      </c>
      <c r="AU84" s="181">
        <f t="shared" si="22"/>
        <v>59.42</v>
      </c>
      <c r="AV84" s="181">
        <f t="shared" si="22"/>
        <v>59.42</v>
      </c>
      <c r="AW84" s="181">
        <f t="shared" si="22"/>
        <v>59.42</v>
      </c>
      <c r="AX84" s="181">
        <f t="shared" si="22"/>
        <v>59.42</v>
      </c>
      <c r="AY84" s="181">
        <f t="shared" si="22"/>
        <v>59.42</v>
      </c>
      <c r="AZ84" s="181">
        <f t="shared" si="22"/>
        <v>59.42</v>
      </c>
      <c r="BA84" s="181">
        <f t="shared" si="22"/>
        <v>59.42</v>
      </c>
      <c r="BB84" s="182">
        <f t="shared" si="22"/>
        <v>59.42</v>
      </c>
    </row>
    <row r="85" spans="2:55" x14ac:dyDescent="0.3">
      <c r="B85" s="28">
        <v>2051</v>
      </c>
      <c r="C85" s="179">
        <f t="shared" si="18"/>
        <v>0</v>
      </c>
      <c r="D85" s="180">
        <f t="shared" si="18"/>
        <v>0</v>
      </c>
      <c r="E85" s="180">
        <f t="shared" si="18"/>
        <v>0</v>
      </c>
      <c r="F85" s="180">
        <f t="shared" si="18"/>
        <v>0</v>
      </c>
      <c r="G85" s="180">
        <f t="shared" si="18"/>
        <v>0</v>
      </c>
      <c r="H85" s="180">
        <f t="shared" si="18"/>
        <v>0</v>
      </c>
      <c r="I85" s="180">
        <f t="shared" si="18"/>
        <v>0</v>
      </c>
      <c r="J85" s="180">
        <f t="shared" si="18"/>
        <v>0</v>
      </c>
      <c r="K85" s="180">
        <f t="shared" si="18"/>
        <v>0</v>
      </c>
      <c r="L85" s="180">
        <f t="shared" si="18"/>
        <v>0</v>
      </c>
      <c r="M85" s="180">
        <f t="shared" si="19"/>
        <v>0</v>
      </c>
      <c r="N85" s="180">
        <f t="shared" si="19"/>
        <v>0</v>
      </c>
      <c r="O85" s="180">
        <f t="shared" si="19"/>
        <v>0</v>
      </c>
      <c r="P85" s="180">
        <f t="shared" si="19"/>
        <v>0</v>
      </c>
      <c r="Q85" s="180">
        <f t="shared" si="19"/>
        <v>0</v>
      </c>
      <c r="R85" s="180">
        <f t="shared" si="19"/>
        <v>0</v>
      </c>
      <c r="S85" s="180">
        <f t="shared" si="19"/>
        <v>0</v>
      </c>
      <c r="T85" s="180">
        <f t="shared" si="19"/>
        <v>0</v>
      </c>
      <c r="U85" s="180">
        <f t="shared" si="19"/>
        <v>0</v>
      </c>
      <c r="V85" s="180">
        <f t="shared" si="19"/>
        <v>0</v>
      </c>
      <c r="W85" s="180">
        <f t="shared" si="20"/>
        <v>0</v>
      </c>
      <c r="X85" s="180">
        <f t="shared" si="20"/>
        <v>0</v>
      </c>
      <c r="Y85" s="180">
        <f t="shared" si="20"/>
        <v>0</v>
      </c>
      <c r="Z85" s="180">
        <f t="shared" si="20"/>
        <v>0</v>
      </c>
      <c r="AA85" s="180">
        <f t="shared" si="20"/>
        <v>0</v>
      </c>
      <c r="AB85" s="180">
        <f t="shared" si="20"/>
        <v>0</v>
      </c>
      <c r="AC85" s="180">
        <f t="shared" si="20"/>
        <v>0</v>
      </c>
      <c r="AD85" s="180">
        <f t="shared" si="20"/>
        <v>0</v>
      </c>
      <c r="AE85" s="180">
        <f t="shared" si="20"/>
        <v>0</v>
      </c>
      <c r="AF85" s="180">
        <f t="shared" si="20"/>
        <v>0</v>
      </c>
      <c r="AG85" s="180">
        <f t="shared" si="21"/>
        <v>59.42</v>
      </c>
      <c r="AH85" s="180">
        <f t="shared" si="21"/>
        <v>59.42</v>
      </c>
      <c r="AI85" s="181">
        <f t="shared" si="21"/>
        <v>59.42</v>
      </c>
      <c r="AJ85" s="181">
        <f t="shared" si="21"/>
        <v>59.42</v>
      </c>
      <c r="AK85" s="181">
        <f t="shared" si="21"/>
        <v>59.42</v>
      </c>
      <c r="AL85" s="181">
        <f t="shared" si="21"/>
        <v>59.42</v>
      </c>
      <c r="AM85" s="181">
        <f t="shared" si="21"/>
        <v>59.42</v>
      </c>
      <c r="AN85" s="181">
        <f t="shared" si="21"/>
        <v>59.42</v>
      </c>
      <c r="AO85" s="181">
        <f t="shared" si="21"/>
        <v>59.42</v>
      </c>
      <c r="AP85" s="181">
        <f t="shared" si="21"/>
        <v>59.42</v>
      </c>
      <c r="AQ85" s="181">
        <f t="shared" si="22"/>
        <v>59.42</v>
      </c>
      <c r="AR85" s="181">
        <f t="shared" si="22"/>
        <v>59.42</v>
      </c>
      <c r="AS85" s="181">
        <f t="shared" si="22"/>
        <v>59.42</v>
      </c>
      <c r="AT85" s="181">
        <f t="shared" si="22"/>
        <v>59.42</v>
      </c>
      <c r="AU85" s="181">
        <f t="shared" si="22"/>
        <v>59.42</v>
      </c>
      <c r="AV85" s="181">
        <f t="shared" si="22"/>
        <v>59.42</v>
      </c>
      <c r="AW85" s="181">
        <f t="shared" si="22"/>
        <v>59.42</v>
      </c>
      <c r="AX85" s="181">
        <f t="shared" si="22"/>
        <v>59.42</v>
      </c>
      <c r="AY85" s="181">
        <f t="shared" si="22"/>
        <v>59.42</v>
      </c>
      <c r="AZ85" s="181">
        <f t="shared" si="22"/>
        <v>59.42</v>
      </c>
      <c r="BA85" s="181">
        <f t="shared" si="22"/>
        <v>59.42</v>
      </c>
      <c r="BB85" s="182">
        <f t="shared" si="22"/>
        <v>59.42</v>
      </c>
    </row>
    <row r="86" spans="2:55" x14ac:dyDescent="0.3">
      <c r="B86" s="28">
        <v>2052</v>
      </c>
      <c r="C86" s="179">
        <f t="shared" si="18"/>
        <v>0</v>
      </c>
      <c r="D86" s="180">
        <f t="shared" si="18"/>
        <v>0</v>
      </c>
      <c r="E86" s="180">
        <f t="shared" si="18"/>
        <v>0</v>
      </c>
      <c r="F86" s="180">
        <f t="shared" si="18"/>
        <v>0</v>
      </c>
      <c r="G86" s="180">
        <f t="shared" si="18"/>
        <v>0</v>
      </c>
      <c r="H86" s="180">
        <f t="shared" si="18"/>
        <v>0</v>
      </c>
      <c r="I86" s="180">
        <f t="shared" si="18"/>
        <v>0</v>
      </c>
      <c r="J86" s="180">
        <f t="shared" si="18"/>
        <v>0</v>
      </c>
      <c r="K86" s="180">
        <f t="shared" si="18"/>
        <v>0</v>
      </c>
      <c r="L86" s="180">
        <f t="shared" si="18"/>
        <v>0</v>
      </c>
      <c r="M86" s="180">
        <f t="shared" si="19"/>
        <v>0</v>
      </c>
      <c r="N86" s="180">
        <f t="shared" si="19"/>
        <v>0</v>
      </c>
      <c r="O86" s="180">
        <f t="shared" si="19"/>
        <v>0</v>
      </c>
      <c r="P86" s="180">
        <f t="shared" si="19"/>
        <v>0</v>
      </c>
      <c r="Q86" s="180">
        <f t="shared" si="19"/>
        <v>0</v>
      </c>
      <c r="R86" s="180">
        <f t="shared" si="19"/>
        <v>0</v>
      </c>
      <c r="S86" s="180">
        <f t="shared" si="19"/>
        <v>0</v>
      </c>
      <c r="T86" s="180">
        <f t="shared" si="19"/>
        <v>0</v>
      </c>
      <c r="U86" s="180">
        <f t="shared" si="19"/>
        <v>0</v>
      </c>
      <c r="V86" s="180">
        <f t="shared" si="19"/>
        <v>0</v>
      </c>
      <c r="W86" s="180">
        <f t="shared" si="20"/>
        <v>0</v>
      </c>
      <c r="X86" s="180">
        <f t="shared" si="20"/>
        <v>0</v>
      </c>
      <c r="Y86" s="180">
        <f t="shared" si="20"/>
        <v>0</v>
      </c>
      <c r="Z86" s="180">
        <f t="shared" si="20"/>
        <v>0</v>
      </c>
      <c r="AA86" s="180">
        <f t="shared" si="20"/>
        <v>0</v>
      </c>
      <c r="AB86" s="180">
        <f t="shared" si="20"/>
        <v>0</v>
      </c>
      <c r="AC86" s="180">
        <f t="shared" si="20"/>
        <v>0</v>
      </c>
      <c r="AD86" s="180">
        <f t="shared" si="20"/>
        <v>0</v>
      </c>
      <c r="AE86" s="180">
        <f t="shared" si="20"/>
        <v>0</v>
      </c>
      <c r="AF86" s="180">
        <f t="shared" si="20"/>
        <v>0</v>
      </c>
      <c r="AG86" s="180">
        <f t="shared" si="21"/>
        <v>0</v>
      </c>
      <c r="AH86" s="180">
        <f t="shared" si="21"/>
        <v>59.42</v>
      </c>
      <c r="AI86" s="181">
        <f t="shared" si="21"/>
        <v>59.42</v>
      </c>
      <c r="AJ86" s="181">
        <f t="shared" si="21"/>
        <v>59.42</v>
      </c>
      <c r="AK86" s="181">
        <f t="shared" si="21"/>
        <v>59.42</v>
      </c>
      <c r="AL86" s="181">
        <f t="shared" si="21"/>
        <v>59.42</v>
      </c>
      <c r="AM86" s="181">
        <f t="shared" si="21"/>
        <v>59.42</v>
      </c>
      <c r="AN86" s="181">
        <f t="shared" si="21"/>
        <v>59.42</v>
      </c>
      <c r="AO86" s="181">
        <f t="shared" si="21"/>
        <v>59.42</v>
      </c>
      <c r="AP86" s="181">
        <f t="shared" si="21"/>
        <v>59.42</v>
      </c>
      <c r="AQ86" s="181">
        <f t="shared" si="22"/>
        <v>59.42</v>
      </c>
      <c r="AR86" s="181">
        <f t="shared" si="22"/>
        <v>59.42</v>
      </c>
      <c r="AS86" s="181">
        <f t="shared" si="22"/>
        <v>59.42</v>
      </c>
      <c r="AT86" s="181">
        <f t="shared" si="22"/>
        <v>59.42</v>
      </c>
      <c r="AU86" s="181">
        <f t="shared" si="22"/>
        <v>59.42</v>
      </c>
      <c r="AV86" s="181">
        <f t="shared" si="22"/>
        <v>59.42</v>
      </c>
      <c r="AW86" s="181">
        <f t="shared" si="22"/>
        <v>59.42</v>
      </c>
      <c r="AX86" s="181">
        <f t="shared" si="22"/>
        <v>59.42</v>
      </c>
      <c r="AY86" s="181">
        <f t="shared" si="22"/>
        <v>59.42</v>
      </c>
      <c r="AZ86" s="181">
        <f t="shared" si="22"/>
        <v>59.42</v>
      </c>
      <c r="BA86" s="181">
        <f t="shared" si="22"/>
        <v>59.42</v>
      </c>
      <c r="BB86" s="182">
        <f t="shared" si="22"/>
        <v>59.42</v>
      </c>
    </row>
    <row r="88" spans="2:55" ht="21" x14ac:dyDescent="0.4">
      <c r="B88" s="636" t="s">
        <v>482</v>
      </c>
      <c r="I88" s="659"/>
    </row>
    <row r="89" spans="2:55" x14ac:dyDescent="0.3">
      <c r="B89" s="211" t="s">
        <v>476</v>
      </c>
    </row>
    <row r="90" spans="2:55" x14ac:dyDescent="0.3">
      <c r="B90" s="211" t="s">
        <v>477</v>
      </c>
    </row>
    <row r="91" spans="2:55" x14ac:dyDescent="0.3">
      <c r="B91" s="211" t="s">
        <v>478</v>
      </c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  <c r="AZ91" s="410"/>
      <c r="BA91" s="410"/>
      <c r="BB91" s="410"/>
      <c r="BC91" s="410"/>
    </row>
    <row r="92" spans="2:55" x14ac:dyDescent="0.3">
      <c r="B92" s="211" t="s">
        <v>479</v>
      </c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</row>
    <row r="93" spans="2:55" x14ac:dyDescent="0.3">
      <c r="C93" s="155">
        <v>2021</v>
      </c>
      <c r="D93" s="156">
        <v>2022</v>
      </c>
      <c r="E93" s="156">
        <v>2023</v>
      </c>
      <c r="F93" s="156">
        <v>2024</v>
      </c>
      <c r="G93" s="156">
        <v>2025</v>
      </c>
      <c r="H93" s="156">
        <v>2026</v>
      </c>
      <c r="I93" s="156">
        <v>2027</v>
      </c>
      <c r="J93" s="156">
        <v>2028</v>
      </c>
      <c r="K93" s="156">
        <v>2029</v>
      </c>
      <c r="L93" s="156">
        <v>2030</v>
      </c>
      <c r="M93" s="156">
        <v>2031</v>
      </c>
      <c r="N93" s="156">
        <v>2032</v>
      </c>
      <c r="O93" s="156">
        <v>2033</v>
      </c>
      <c r="P93" s="156">
        <v>2034</v>
      </c>
      <c r="Q93" s="156">
        <v>2035</v>
      </c>
      <c r="R93" s="156">
        <v>2036</v>
      </c>
      <c r="S93" s="156">
        <v>2037</v>
      </c>
      <c r="T93" s="156">
        <v>2038</v>
      </c>
      <c r="U93" s="156">
        <v>2039</v>
      </c>
      <c r="V93" s="156">
        <v>2040</v>
      </c>
      <c r="W93" s="156">
        <v>2041</v>
      </c>
      <c r="X93" s="156">
        <v>2042</v>
      </c>
      <c r="Y93" s="156">
        <v>2043</v>
      </c>
      <c r="Z93" s="156">
        <v>2044</v>
      </c>
      <c r="AA93" s="156">
        <v>2045</v>
      </c>
      <c r="AB93" s="156">
        <v>2046</v>
      </c>
      <c r="AC93" s="156">
        <v>2047</v>
      </c>
      <c r="AD93" s="156">
        <v>2048</v>
      </c>
      <c r="AE93" s="156">
        <v>2049</v>
      </c>
      <c r="AF93" s="157">
        <v>2050</v>
      </c>
      <c r="AG93" s="157">
        <v>2051</v>
      </c>
      <c r="AH93" s="156">
        <v>2052</v>
      </c>
      <c r="AI93" s="156">
        <v>2053</v>
      </c>
      <c r="AJ93" s="157">
        <v>2054</v>
      </c>
      <c r="AK93" s="156">
        <v>2055</v>
      </c>
      <c r="AL93" s="157">
        <v>2056</v>
      </c>
      <c r="AM93" s="156">
        <v>2057</v>
      </c>
      <c r="AN93" s="157">
        <v>2058</v>
      </c>
      <c r="AO93" s="156">
        <v>2059</v>
      </c>
      <c r="AP93" s="157">
        <v>2060</v>
      </c>
      <c r="AQ93" s="156">
        <v>2061</v>
      </c>
      <c r="AR93" s="157">
        <v>2062</v>
      </c>
      <c r="AS93" s="156">
        <v>2063</v>
      </c>
      <c r="AT93" s="157">
        <v>2064</v>
      </c>
      <c r="AU93" s="156">
        <v>2065</v>
      </c>
      <c r="AV93" s="157">
        <v>2066</v>
      </c>
      <c r="AW93" s="156">
        <v>2067</v>
      </c>
      <c r="AX93" s="157">
        <v>2068</v>
      </c>
      <c r="AY93" s="156">
        <v>2069</v>
      </c>
      <c r="AZ93" s="157">
        <v>2070</v>
      </c>
      <c r="BA93" s="156">
        <v>2071</v>
      </c>
      <c r="BB93" s="157">
        <v>2072</v>
      </c>
      <c r="BC93" s="410"/>
    </row>
    <row r="94" spans="2:55" x14ac:dyDescent="0.3">
      <c r="B94" s="28">
        <v>2021</v>
      </c>
      <c r="C94" s="177" cm="1">
        <f t="array" aca="1" ref="C94" ca="1">IF(AND($B94=C$93,$B94=$B95-1),NPV(real_discount_rate,OFFSET(C55,,,,COUNTA($C$54:$BB$54)-COUNTA($C$54:C$54)+1)-OFFSET(C56,,,,COUNTA($C$54:$BB$54)-COUNTA($C$54:C$54)+1))*(1+real_discount_rate),IF($B94=C$2,C$6,0))</f>
        <v>229.70661799172643</v>
      </c>
      <c r="D94" s="183" cm="1">
        <f t="array" aca="1" ref="D94" ca="1">IF(AND($B94=D$93,$B94=$B95-1),NPV(real_discount_rate,OFFSET(D55,,,,COUNTA($C$54:$BB$54)-COUNTA($C$54:D$54)+1)-OFFSET(D56,,,,COUNTA($C$54:$BB$54)-COUNTA($C$54:D$54)+1))*(1+real_discount_rate),IF($B94=D$2,D$6,0))</f>
        <v>0</v>
      </c>
      <c r="E94" s="183" cm="1">
        <f t="array" aca="1" ref="E94" ca="1">IF(AND($B94=E$93,$B94=$B95-1),NPV(real_discount_rate,OFFSET(E55,,,,COUNTA($C$54:$BB$54)-COUNTA($C$54:E$54)+1)-OFFSET(E56,,,,COUNTA($C$54:$BB$54)-COUNTA($C$54:E$54)+1))*(1+real_discount_rate),IF($B94=E$2,E$6,0))</f>
        <v>0</v>
      </c>
      <c r="F94" s="183" cm="1">
        <f t="array" aca="1" ref="F94" ca="1">IF(AND($B94=F$93,$B94=$B95-1),NPV(real_discount_rate,OFFSET(F55,,,,COUNTA($C$54:$BB$54)-COUNTA($C$54:F$54)+1)-OFFSET(F56,,,,COUNTA($C$54:$BB$54)-COUNTA($C$54:F$54)+1))*(1+real_discount_rate),IF($B94=F$2,F$6,0))</f>
        <v>0</v>
      </c>
      <c r="G94" s="183" cm="1">
        <f t="array" aca="1" ref="G94" ca="1">IF(AND($B94=G$93,$B94=$B95-1),NPV(real_discount_rate,OFFSET(G55,,,,COUNTA($C$54:$BB$54)-COUNTA($C$54:G$54)+1)-OFFSET(G56,,,,COUNTA($C$54:$BB$54)-COUNTA($C$54:G$54)+1))*(1+real_discount_rate),IF($B94=G$2,G$6,0))</f>
        <v>0</v>
      </c>
      <c r="H94" s="183" cm="1">
        <f t="array" aca="1" ref="H94" ca="1">IF(AND($B94=H$93,$B94=$B95-1),NPV(real_discount_rate,OFFSET(H55,,,,COUNTA($C$54:$BB$54)-COUNTA($C$54:H$54)+1)-OFFSET(H56,,,,COUNTA($C$54:$BB$54)-COUNTA($C$54:H$54)+1))*(1+real_discount_rate),IF($B94=H$2,H$6,0))</f>
        <v>0</v>
      </c>
      <c r="I94" s="183" cm="1">
        <f t="array" aca="1" ref="I94" ca="1">IF(AND($B94=I$93,$B94=$B95-1),NPV(real_discount_rate,OFFSET(I55,,,,COUNTA($C$54:$BB$54)-COUNTA($C$54:I$54)+1)-OFFSET(I56,,,,COUNTA($C$54:$BB$54)-COUNTA($C$54:I$54)+1))*(1+real_discount_rate),IF($B94=I$2,I$6,0))</f>
        <v>0</v>
      </c>
      <c r="J94" s="183" cm="1">
        <f t="array" aca="1" ref="J94" ca="1">IF(AND($B94=J$93,$B94=$B95-1),NPV(real_discount_rate,OFFSET(J55,,,,COUNTA($C$54:$BB$54)-COUNTA($C$54:J$54)+1)-OFFSET(J56,,,,COUNTA($C$54:$BB$54)-COUNTA($C$54:J$54)+1))*(1+real_discount_rate),IF($B94=J$2,J$6,0))</f>
        <v>0</v>
      </c>
      <c r="K94" s="183" cm="1">
        <f t="array" aca="1" ref="K94" ca="1">IF(AND($B94=K$93,$B94=$B95-1),NPV(real_discount_rate,OFFSET(K55,,,,COUNTA($C$54:$BB$54)-COUNTA($C$54:K$54)+1)-OFFSET(K56,,,,COUNTA($C$54:$BB$54)-COUNTA($C$54:K$54)+1))*(1+real_discount_rate),IF($B94=K$2,K$6,0))</f>
        <v>0</v>
      </c>
      <c r="L94" s="183" cm="1">
        <f t="array" aca="1" ref="L94" ca="1">IF(AND($B94=L$93,$B94=$B95-1),NPV(real_discount_rate,OFFSET(L55,,,,COUNTA($C$54:$BB$54)-COUNTA($C$54:L$54)+1)-OFFSET(L56,,,,COUNTA($C$54:$BB$54)-COUNTA($C$54:L$54)+1))*(1+real_discount_rate),IF($B94=L$2,L$6,0))</f>
        <v>0</v>
      </c>
      <c r="M94" s="183" cm="1">
        <f t="array" aca="1" ref="M94" ca="1">IF(AND($B94=M$93,$B94=$B95-1),NPV(real_discount_rate,OFFSET(M55,,,,COUNTA($C$54:$BB$54)-COUNTA($C$54:M$54)+1)-OFFSET(M56,,,,COUNTA($C$54:$BB$54)-COUNTA($C$54:M$54)+1))*(1+real_discount_rate),IF($B94=M$2,M$6,0))</f>
        <v>0</v>
      </c>
      <c r="N94" s="183" cm="1">
        <f t="array" aca="1" ref="N94" ca="1">IF(AND($B94=N$93,$B94=$B95-1),NPV(real_discount_rate,OFFSET(N55,,,,COUNTA($C$54:$BB$54)-COUNTA($C$54:N$54)+1)-OFFSET(N56,,,,COUNTA($C$54:$BB$54)-COUNTA($C$54:N$54)+1))*(1+real_discount_rate),IF($B94=N$2,N$6,0))</f>
        <v>0</v>
      </c>
      <c r="O94" s="183" cm="1">
        <f t="array" aca="1" ref="O94" ca="1">IF(AND($B94=O$93,$B94=$B95-1),NPV(real_discount_rate,OFFSET(O55,,,,COUNTA($C$54:$BB$54)-COUNTA($C$54:O$54)+1)-OFFSET(O56,,,,COUNTA($C$54:$BB$54)-COUNTA($C$54:O$54)+1))*(1+real_discount_rate),IF($B94=O$2,O$6,0))</f>
        <v>0</v>
      </c>
      <c r="P94" s="183" cm="1">
        <f t="array" aca="1" ref="P94" ca="1">IF(AND($B94=P$93,$B94=$B95-1),NPV(real_discount_rate,OFFSET(P55,,,,COUNTA($C$54:$BB$54)-COUNTA($C$54:P$54)+1)-OFFSET(P56,,,,COUNTA($C$54:$BB$54)-COUNTA($C$54:P$54)+1))*(1+real_discount_rate),IF($B94=P$2,P$6,0))</f>
        <v>0</v>
      </c>
      <c r="Q94" s="183" cm="1">
        <f t="array" aca="1" ref="Q94" ca="1">IF(AND($B94=Q$93,$B94=$B95-1),NPV(real_discount_rate,OFFSET(Q55,,,,COUNTA($C$54:$BB$54)-COUNTA($C$54:Q$54)+1)-OFFSET(Q56,,,,COUNTA($C$54:$BB$54)-COUNTA($C$54:Q$54)+1))*(1+real_discount_rate),IF($B94=Q$2,Q$6,0))</f>
        <v>0</v>
      </c>
      <c r="R94" s="183" cm="1">
        <f t="array" aca="1" ref="R94" ca="1">IF(AND($B94=R$93,$B94=$B95-1),NPV(real_discount_rate,OFFSET(R55,,,,COUNTA($C$54:$BB$54)-COUNTA($C$54:R$54)+1)-OFFSET(R56,,,,COUNTA($C$54:$BB$54)-COUNTA($C$54:R$54)+1))*(1+real_discount_rate),IF($B94=R$2,R$6,0))</f>
        <v>0</v>
      </c>
      <c r="S94" s="183" cm="1">
        <f t="array" aca="1" ref="S94" ca="1">IF(AND($B94=S$93,$B94=$B95-1),NPV(real_discount_rate,OFFSET(S55,,,,COUNTA($C$54:$BB$54)-COUNTA($C$54:S$54)+1)-OFFSET(S56,,,,COUNTA($C$54:$BB$54)-COUNTA($C$54:S$54)+1))*(1+real_discount_rate),IF($B94=S$2,S$6,0))</f>
        <v>0</v>
      </c>
      <c r="T94" s="183" cm="1">
        <f t="array" aca="1" ref="T94" ca="1">IF(AND($B94=T$93,$B94=$B95-1),NPV(real_discount_rate,OFFSET(T55,,,,COUNTA($C$54:$BB$54)-COUNTA($C$54:T$54)+1)-OFFSET(T56,,,,COUNTA($C$54:$BB$54)-COUNTA($C$54:T$54)+1))*(1+real_discount_rate),IF($B94=T$2,T$6,0))</f>
        <v>0</v>
      </c>
      <c r="U94" s="183" cm="1">
        <f t="array" aca="1" ref="U94" ca="1">IF(AND($B94=U$93,$B94=$B95-1),NPV(real_discount_rate,OFFSET(U55,,,,COUNTA($C$54:$BB$54)-COUNTA($C$54:U$54)+1)-OFFSET(U56,,,,COUNTA($C$54:$BB$54)-COUNTA($C$54:U$54)+1))*(1+real_discount_rate),IF($B94=U$2,U$6,0))</f>
        <v>0</v>
      </c>
      <c r="V94" s="183" cm="1">
        <f t="array" aca="1" ref="V94" ca="1">IF(AND($B94=V$93,$B94=$B95-1),NPV(real_discount_rate,OFFSET(V55,,,,COUNTA($C$54:$BB$54)-COUNTA($C$54:V$54)+1)-OFFSET(V56,,,,COUNTA($C$54:$BB$54)-COUNTA($C$54:V$54)+1))*(1+real_discount_rate),IF($B94=V$2,V$6,0))</f>
        <v>0</v>
      </c>
      <c r="W94" s="183" cm="1">
        <f t="array" aca="1" ref="W94" ca="1">IF(AND($B94=W$93,$B94=$B95-1),NPV(real_discount_rate,OFFSET(W55,,,,COUNTA($C$54:$BB$54)-COUNTA($C$54:W$54)+1)-OFFSET(W56,,,,COUNTA($C$54:$BB$54)-COUNTA($C$54:W$54)+1))*(1+real_discount_rate),IF($B94=W$2,W$6,0))</f>
        <v>0</v>
      </c>
      <c r="X94" s="183" cm="1">
        <f t="array" aca="1" ref="X94" ca="1">IF(AND($B94=X$93,$B94=$B95-1),NPV(real_discount_rate,OFFSET(X55,,,,COUNTA($C$54:$BB$54)-COUNTA($C$54:X$54)+1)-OFFSET(X56,,,,COUNTA($C$54:$BB$54)-COUNTA($C$54:X$54)+1))*(1+real_discount_rate),IF($B94=X$2,X$6,0))</f>
        <v>0</v>
      </c>
      <c r="Y94" s="183" cm="1">
        <f t="array" aca="1" ref="Y94" ca="1">IF(AND($B94=Y$93,$B94=$B95-1),NPV(real_discount_rate,OFFSET(Y55,,,,COUNTA($C$54:$BB$54)-COUNTA($C$54:Y$54)+1)-OFFSET(Y56,,,,COUNTA($C$54:$BB$54)-COUNTA($C$54:Y$54)+1))*(1+real_discount_rate),IF($B94=Y$2,Y$6,0))</f>
        <v>0</v>
      </c>
      <c r="Z94" s="183" cm="1">
        <f t="array" aca="1" ref="Z94" ca="1">IF(AND($B94=Z$93,$B94=$B95-1),NPV(real_discount_rate,OFFSET(Z55,,,,COUNTA($C$54:$BB$54)-COUNTA($C$54:Z$54)+1)-OFFSET(Z56,,,,COUNTA($C$54:$BB$54)-COUNTA($C$54:Z$54)+1))*(1+real_discount_rate),IF($B94=Z$2,Z$6,0))</f>
        <v>0</v>
      </c>
      <c r="AA94" s="183" cm="1">
        <f t="array" aca="1" ref="AA94" ca="1">IF(AND($B94=AA$93,$B94=$B95-1),NPV(real_discount_rate,OFFSET(AA55,,,,COUNTA($C$54:$BB$54)-COUNTA($C$54:AA$54)+1)-OFFSET(AA56,,,,COUNTA($C$54:$BB$54)-COUNTA($C$54:AA$54)+1))*(1+real_discount_rate),IF($B94=AA$2,AA$6,0))</f>
        <v>0</v>
      </c>
      <c r="AB94" s="183" cm="1">
        <f t="array" aca="1" ref="AB94" ca="1">IF(AND($B94=AB$93,$B94=$B95-1),NPV(real_discount_rate,OFFSET(AB55,,,,COUNTA($C$54:$BB$54)-COUNTA($C$54:AB$54)+1)-OFFSET(AB56,,,,COUNTA($C$54:$BB$54)-COUNTA($C$54:AB$54)+1))*(1+real_discount_rate),IF($B94=AB$2,AB$6,0))</f>
        <v>0</v>
      </c>
      <c r="AC94" s="183" cm="1">
        <f t="array" aca="1" ref="AC94" ca="1">IF(AND($B94=AC$93,$B94=$B95-1),NPV(real_discount_rate,OFFSET(AC55,,,,COUNTA($C$54:$BB$54)-COUNTA($C$54:AC$54)+1)-OFFSET(AC56,,,,COUNTA($C$54:$BB$54)-COUNTA($C$54:AC$54)+1))*(1+real_discount_rate),IF($B94=AC$2,AC$6,0))</f>
        <v>0</v>
      </c>
      <c r="AD94" s="183" cm="1">
        <f t="array" aca="1" ref="AD94" ca="1">IF(AND($B94=AD$93,$B94=$B95-1),NPV(real_discount_rate,OFFSET(AD55,,,,COUNTA($C$54:$BB$54)-COUNTA($C$54:AD$54)+1)-OFFSET(AD56,,,,COUNTA($C$54:$BB$54)-COUNTA($C$54:AD$54)+1))*(1+real_discount_rate),IF($B94=AD$2,AD$6,0))</f>
        <v>0</v>
      </c>
      <c r="AE94" s="183" cm="1">
        <f t="array" aca="1" ref="AE94" ca="1">IF(AND($B94=AE$93,$B94=$B95-1),NPV(real_discount_rate,OFFSET(AE55,,,,COUNTA($C$54:$BB$54)-COUNTA($C$54:AE$54)+1)-OFFSET(AE56,,,,COUNTA($C$54:$BB$54)-COUNTA($C$54:AE$54)+1))*(1+real_discount_rate),IF($B94=AE$2,AE$6,0))</f>
        <v>0</v>
      </c>
      <c r="AF94" s="183" cm="1">
        <f t="array" aca="1" ref="AF94" ca="1">IF(AND($B94=AF$93,$B94=$B95-1),NPV(real_discount_rate,OFFSET(AF55,,,,COUNTA($C$54:$BB$54)-COUNTA($C$54:AF$54)+1)-OFFSET(AF56,,,,COUNTA($C$54:$BB$54)-COUNTA($C$54:AF$54)+1))*(1+real_discount_rate),IF($B94=AF$2,AF$6,0))</f>
        <v>0</v>
      </c>
      <c r="AG94" s="183" cm="1">
        <f t="array" aca="1" ref="AG94" ca="1">IF(AND($B94=AG$93,$B94=$B95-1),NPV(real_discount_rate,OFFSET(AG55,,,,COUNTA($C$54:$BB$54)-COUNTA($C$54:AG$54)+1)-OFFSET(AG56,,,,COUNTA($C$54:$BB$54)-COUNTA($C$54:AG$54)+1))*(1+real_discount_rate),IF($B94=AG$2,AG$6,0))</f>
        <v>0</v>
      </c>
      <c r="AH94" s="648" cm="1">
        <f t="array" aca="1" ref="AH94" ca="1">IF(AND($B94=AH$93,$B94=$B95-1),NPV(real_discount_rate,OFFSET(AH55,,,,COUNTA($C$54:$BB$54)-COUNTA($C$54:AH$54)+1)-OFFSET(AH56,,,,COUNTA($C$54:$BB$54)-COUNTA($C$54:AH$54)+1))*(1+real_discount_rate),IF($B94=AH$2,AH$6,0))</f>
        <v>0</v>
      </c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182"/>
      <c r="BC94" s="410"/>
    </row>
    <row r="95" spans="2:55" x14ac:dyDescent="0.3">
      <c r="B95" s="28">
        <v>2022</v>
      </c>
      <c r="C95" s="179" cm="1">
        <f t="array" aca="1" ref="C95" ca="1">IF(AND($B95=C$93,$B95=$B96-1),NPV(real_discount_rate,OFFSET(C56,,,,COUNTA($C$54:$BB$54)-COUNTA($C$54:C$54)+1)-OFFSET(C57,,,,COUNTA($C$54:$BB$54)-COUNTA($C$54:C$54)+1))*(1+real_discount_rate),IF($B95=C$2,C$6,0))</f>
        <v>0</v>
      </c>
      <c r="D95" s="180" cm="1">
        <f t="array" aca="1" ref="D95" ca="1">IF(AND($B95=D$93,$B95=$B96-1),NPV(real_discount_rate,OFFSET(D56,,,,COUNTA($C$54:$BB$54)-COUNTA($C$54:D$54)+1)-OFFSET(D57,,,,COUNTA($C$54:$BB$54)-COUNTA($C$54:D$54)+1))*(1+real_discount_rate),IF($B95=D$2,D$6,0))</f>
        <v>256.00498749273424</v>
      </c>
      <c r="E95" s="180" cm="1">
        <f t="array" aca="1" ref="E95" ca="1">IF(AND($B95=E$93,$B95=$B96-1),NPV(real_discount_rate,OFFSET(E56,,,,COUNTA($C$54:$BB$54)-COUNTA($C$54:E$54)+1)-OFFSET(E57,,,,COUNTA($C$54:$BB$54)-COUNTA($C$54:E$54)+1))*(1+real_discount_rate),IF($B95=E$2,E$6,0))</f>
        <v>0</v>
      </c>
      <c r="F95" s="180" cm="1">
        <f t="array" aca="1" ref="F95" ca="1">IF(AND($B95=F$93,$B95=$B96-1),NPV(real_discount_rate,OFFSET(F56,,,,COUNTA($C$54:$BB$54)-COUNTA($C$54:F$54)+1)-OFFSET(F57,,,,COUNTA($C$54:$BB$54)-COUNTA($C$54:F$54)+1))*(1+real_discount_rate),IF($B95=F$2,F$6,0))</f>
        <v>0</v>
      </c>
      <c r="G95" s="180" cm="1">
        <f t="array" aca="1" ref="G95" ca="1">IF(AND($B95=G$93,$B95=$B96-1),NPV(real_discount_rate,OFFSET(G56,,,,COUNTA($C$54:$BB$54)-COUNTA($C$54:G$54)+1)-OFFSET(G57,,,,COUNTA($C$54:$BB$54)-COUNTA($C$54:G$54)+1))*(1+real_discount_rate),IF($B95=G$2,G$6,0))</f>
        <v>0</v>
      </c>
      <c r="H95" s="180" cm="1">
        <f t="array" aca="1" ref="H95" ca="1">IF(AND($B95=H$93,$B95=$B96-1),NPV(real_discount_rate,OFFSET(H56,,,,COUNTA($C$54:$BB$54)-COUNTA($C$54:H$54)+1)-OFFSET(H57,,,,COUNTA($C$54:$BB$54)-COUNTA($C$54:H$54)+1))*(1+real_discount_rate),IF($B95=H$2,H$6,0))</f>
        <v>0</v>
      </c>
      <c r="I95" s="180" cm="1">
        <f t="array" aca="1" ref="I95" ca="1">IF(AND($B95=I$93,$B95=$B96-1),NPV(real_discount_rate,OFFSET(I56,,,,COUNTA($C$54:$BB$54)-COUNTA($C$54:I$54)+1)-OFFSET(I57,,,,COUNTA($C$54:$BB$54)-COUNTA($C$54:I$54)+1))*(1+real_discount_rate),IF($B95=I$2,I$6,0))</f>
        <v>0</v>
      </c>
      <c r="J95" s="180" cm="1">
        <f t="array" aca="1" ref="J95" ca="1">IF(AND($B95=J$93,$B95=$B96-1),NPV(real_discount_rate,OFFSET(J56,,,,COUNTA($C$54:$BB$54)-COUNTA($C$54:J$54)+1)-OFFSET(J57,,,,COUNTA($C$54:$BB$54)-COUNTA($C$54:J$54)+1))*(1+real_discount_rate),IF($B95=J$2,J$6,0))</f>
        <v>0</v>
      </c>
      <c r="K95" s="180" cm="1">
        <f t="array" aca="1" ref="K95" ca="1">IF(AND($B95=K$93,$B95=$B96-1),NPV(real_discount_rate,OFFSET(K56,,,,COUNTA($C$54:$BB$54)-COUNTA($C$54:K$54)+1)-OFFSET(K57,,,,COUNTA($C$54:$BB$54)-COUNTA($C$54:K$54)+1))*(1+real_discount_rate),IF($B95=K$2,K$6,0))</f>
        <v>0</v>
      </c>
      <c r="L95" s="180" cm="1">
        <f t="array" aca="1" ref="L95" ca="1">IF(AND($B95=L$93,$B95=$B96-1),NPV(real_discount_rate,OFFSET(L56,,,,COUNTA($C$54:$BB$54)-COUNTA($C$54:L$54)+1)-OFFSET(L57,,,,COUNTA($C$54:$BB$54)-COUNTA($C$54:L$54)+1))*(1+real_discount_rate),IF($B95=L$2,L$6,0))</f>
        <v>0</v>
      </c>
      <c r="M95" s="180" cm="1">
        <f t="array" aca="1" ref="M95" ca="1">IF(AND($B95=M$93,$B95=$B96-1),NPV(real_discount_rate,OFFSET(M56,,,,COUNTA($C$54:$BB$54)-COUNTA($C$54:M$54)+1)-OFFSET(M57,,,,COUNTA($C$54:$BB$54)-COUNTA($C$54:M$54)+1))*(1+real_discount_rate),IF($B95=M$2,M$6,0))</f>
        <v>0</v>
      </c>
      <c r="N95" s="180" cm="1">
        <f t="array" aca="1" ref="N95" ca="1">IF(AND($B95=N$93,$B95=$B96-1),NPV(real_discount_rate,OFFSET(N56,,,,COUNTA($C$54:$BB$54)-COUNTA($C$54:N$54)+1)-OFFSET(N57,,,,COUNTA($C$54:$BB$54)-COUNTA($C$54:N$54)+1))*(1+real_discount_rate),IF($B95=N$2,N$6,0))</f>
        <v>0</v>
      </c>
      <c r="O95" s="180" cm="1">
        <f t="array" aca="1" ref="O95" ca="1">IF(AND($B95=O$93,$B95=$B96-1),NPV(real_discount_rate,OFFSET(O56,,,,COUNTA($C$54:$BB$54)-COUNTA($C$54:O$54)+1)-OFFSET(O57,,,,COUNTA($C$54:$BB$54)-COUNTA($C$54:O$54)+1))*(1+real_discount_rate),IF($B95=O$2,O$6,0))</f>
        <v>0</v>
      </c>
      <c r="P95" s="180" cm="1">
        <f t="array" aca="1" ref="P95" ca="1">IF(AND($B95=P$93,$B95=$B96-1),NPV(real_discount_rate,OFFSET(P56,,,,COUNTA($C$54:$BB$54)-COUNTA($C$54:P$54)+1)-OFFSET(P57,,,,COUNTA($C$54:$BB$54)-COUNTA($C$54:P$54)+1))*(1+real_discount_rate),IF($B95=P$2,P$6,0))</f>
        <v>0</v>
      </c>
      <c r="Q95" s="180" cm="1">
        <f t="array" aca="1" ref="Q95" ca="1">IF(AND($B95=Q$93,$B95=$B96-1),NPV(real_discount_rate,OFFSET(Q56,,,,COUNTA($C$54:$BB$54)-COUNTA($C$54:Q$54)+1)-OFFSET(Q57,,,,COUNTA($C$54:$BB$54)-COUNTA($C$54:Q$54)+1))*(1+real_discount_rate),IF($B95=Q$2,Q$6,0))</f>
        <v>0</v>
      </c>
      <c r="R95" s="180" cm="1">
        <f t="array" aca="1" ref="R95" ca="1">IF(AND($B95=R$93,$B95=$B96-1),NPV(real_discount_rate,OFFSET(R56,,,,COUNTA($C$54:$BB$54)-COUNTA($C$54:R$54)+1)-OFFSET(R57,,,,COUNTA($C$54:$BB$54)-COUNTA($C$54:R$54)+1))*(1+real_discount_rate),IF($B95=R$2,R$6,0))</f>
        <v>0</v>
      </c>
      <c r="S95" s="180" cm="1">
        <f t="array" aca="1" ref="S95" ca="1">IF(AND($B95=S$93,$B95=$B96-1),NPV(real_discount_rate,OFFSET(S56,,,,COUNTA($C$54:$BB$54)-COUNTA($C$54:S$54)+1)-OFFSET(S57,,,,COUNTA($C$54:$BB$54)-COUNTA($C$54:S$54)+1))*(1+real_discount_rate),IF($B95=S$2,S$6,0))</f>
        <v>0</v>
      </c>
      <c r="T95" s="180" cm="1">
        <f t="array" aca="1" ref="T95" ca="1">IF(AND($B95=T$93,$B95=$B96-1),NPV(real_discount_rate,OFFSET(T56,,,,COUNTA($C$54:$BB$54)-COUNTA($C$54:T$54)+1)-OFFSET(T57,,,,COUNTA($C$54:$BB$54)-COUNTA($C$54:T$54)+1))*(1+real_discount_rate),IF($B95=T$2,T$6,0))</f>
        <v>0</v>
      </c>
      <c r="U95" s="180" cm="1">
        <f t="array" aca="1" ref="U95" ca="1">IF(AND($B95=U$93,$B95=$B96-1),NPV(real_discount_rate,OFFSET(U56,,,,COUNTA($C$54:$BB$54)-COUNTA($C$54:U$54)+1)-OFFSET(U57,,,,COUNTA($C$54:$BB$54)-COUNTA($C$54:U$54)+1))*(1+real_discount_rate),IF($B95=U$2,U$6,0))</f>
        <v>0</v>
      </c>
      <c r="V95" s="180" cm="1">
        <f t="array" aca="1" ref="V95" ca="1">IF(AND($B95=V$93,$B95=$B96-1),NPV(real_discount_rate,OFFSET(V56,,,,COUNTA($C$54:$BB$54)-COUNTA($C$54:V$54)+1)-OFFSET(V57,,,,COUNTA($C$54:$BB$54)-COUNTA($C$54:V$54)+1))*(1+real_discount_rate),IF($B95=V$2,V$6,0))</f>
        <v>0</v>
      </c>
      <c r="W95" s="180" cm="1">
        <f t="array" aca="1" ref="W95" ca="1">IF(AND($B95=W$93,$B95=$B96-1),NPV(real_discount_rate,OFFSET(W56,,,,COUNTA($C$54:$BB$54)-COUNTA($C$54:W$54)+1)-OFFSET(W57,,,,COUNTA($C$54:$BB$54)-COUNTA($C$54:W$54)+1))*(1+real_discount_rate),IF($B95=W$2,W$6,0))</f>
        <v>0</v>
      </c>
      <c r="X95" s="180" cm="1">
        <f t="array" aca="1" ref="X95" ca="1">IF(AND($B95=X$93,$B95=$B96-1),NPV(real_discount_rate,OFFSET(X56,,,,COUNTA($C$54:$BB$54)-COUNTA($C$54:X$54)+1)-OFFSET(X57,,,,COUNTA($C$54:$BB$54)-COUNTA($C$54:X$54)+1))*(1+real_discount_rate),IF($B95=X$2,X$6,0))</f>
        <v>0</v>
      </c>
      <c r="Y95" s="180" cm="1">
        <f t="array" aca="1" ref="Y95" ca="1">IF(AND($B95=Y$93,$B95=$B96-1),NPV(real_discount_rate,OFFSET(Y56,,,,COUNTA($C$54:$BB$54)-COUNTA($C$54:Y$54)+1)-OFFSET(Y57,,,,COUNTA($C$54:$BB$54)-COUNTA($C$54:Y$54)+1))*(1+real_discount_rate),IF($B95=Y$2,Y$6,0))</f>
        <v>0</v>
      </c>
      <c r="Z95" s="180" cm="1">
        <f t="array" aca="1" ref="Z95" ca="1">IF(AND($B95=Z$93,$B95=$B96-1),NPV(real_discount_rate,OFFSET(Z56,,,,COUNTA($C$54:$BB$54)-COUNTA($C$54:Z$54)+1)-OFFSET(Z57,,,,COUNTA($C$54:$BB$54)-COUNTA($C$54:Z$54)+1))*(1+real_discount_rate),IF($B95=Z$2,Z$6,0))</f>
        <v>0</v>
      </c>
      <c r="AA95" s="180" cm="1">
        <f t="array" aca="1" ref="AA95" ca="1">IF(AND($B95=AA$93,$B95=$B96-1),NPV(real_discount_rate,OFFSET(AA56,,,,COUNTA($C$54:$BB$54)-COUNTA($C$54:AA$54)+1)-OFFSET(AA57,,,,COUNTA($C$54:$BB$54)-COUNTA($C$54:AA$54)+1))*(1+real_discount_rate),IF($B95=AA$2,AA$6,0))</f>
        <v>0</v>
      </c>
      <c r="AB95" s="180" cm="1">
        <f t="array" aca="1" ref="AB95" ca="1">IF(AND($B95=AB$93,$B95=$B96-1),NPV(real_discount_rate,OFFSET(AB56,,,,COUNTA($C$54:$BB$54)-COUNTA($C$54:AB$54)+1)-OFFSET(AB57,,,,COUNTA($C$54:$BB$54)-COUNTA($C$54:AB$54)+1))*(1+real_discount_rate),IF($B95=AB$2,AB$6,0))</f>
        <v>0</v>
      </c>
      <c r="AC95" s="180" cm="1">
        <f t="array" aca="1" ref="AC95" ca="1">IF(AND($B95=AC$93,$B95=$B96-1),NPV(real_discount_rate,OFFSET(AC56,,,,COUNTA($C$54:$BB$54)-COUNTA($C$54:AC$54)+1)-OFFSET(AC57,,,,COUNTA($C$54:$BB$54)-COUNTA($C$54:AC$54)+1))*(1+real_discount_rate),IF($B95=AC$2,AC$6,0))</f>
        <v>0</v>
      </c>
      <c r="AD95" s="180" cm="1">
        <f t="array" aca="1" ref="AD95" ca="1">IF(AND($B95=AD$93,$B95=$B96-1),NPV(real_discount_rate,OFFSET(AD56,,,,COUNTA($C$54:$BB$54)-COUNTA($C$54:AD$54)+1)-OFFSET(AD57,,,,COUNTA($C$54:$BB$54)-COUNTA($C$54:AD$54)+1))*(1+real_discount_rate),IF($B95=AD$2,AD$6,0))</f>
        <v>0</v>
      </c>
      <c r="AE95" s="180" cm="1">
        <f t="array" aca="1" ref="AE95" ca="1">IF(AND($B95=AE$93,$B95=$B96-1),NPV(real_discount_rate,OFFSET(AE56,,,,COUNTA($C$54:$BB$54)-COUNTA($C$54:AE$54)+1)-OFFSET(AE57,,,,COUNTA($C$54:$BB$54)-COUNTA($C$54:AE$54)+1))*(1+real_discount_rate),IF($B95=AE$2,AE$6,0))</f>
        <v>0</v>
      </c>
      <c r="AF95" s="180" cm="1">
        <f t="array" aca="1" ref="AF95" ca="1">IF(AND($B95=AF$93,$B95=$B96-1),NPV(real_discount_rate,OFFSET(AF56,,,,COUNTA($C$54:$BB$54)-COUNTA($C$54:AF$54)+1)-OFFSET(AF57,,,,COUNTA($C$54:$BB$54)-COUNTA($C$54:AF$54)+1))*(1+real_discount_rate),IF($B95=AF$2,AF$6,0))</f>
        <v>0</v>
      </c>
      <c r="AG95" s="180" cm="1">
        <f t="array" aca="1" ref="AG95" ca="1">IF(AND($B95=AG$93,$B95=$B96-1),NPV(real_discount_rate,OFFSET(AG56,,,,COUNTA($C$54:$BB$54)-COUNTA($C$54:AG$54)+1)-OFFSET(AG57,,,,COUNTA($C$54:$BB$54)-COUNTA($C$54:AG$54)+1))*(1+real_discount_rate),IF($B95=AG$2,AG$6,0))</f>
        <v>0</v>
      </c>
      <c r="AH95" s="649" cm="1">
        <f t="array" aca="1" ref="AH95" ca="1">IF(AND($B95=AH$93,$B95=$B96-1),NPV(real_discount_rate,OFFSET(AH56,,,,COUNTA($C$54:$BB$54)-COUNTA($C$54:AH$54)+1)-OFFSET(AH57,,,,COUNTA($C$54:$BB$54)-COUNTA($C$54:AH$54)+1))*(1+real_discount_rate),IF($B95=AH$2,AH$6,0))</f>
        <v>0</v>
      </c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182"/>
      <c r="BC95" s="410"/>
    </row>
    <row r="96" spans="2:55" x14ac:dyDescent="0.3">
      <c r="B96" s="28">
        <v>2023</v>
      </c>
      <c r="C96" s="179" cm="1">
        <f t="array" aca="1" ref="C96" ca="1">IF(AND($B96=C$93,$B96=$B97-1),NPV(real_discount_rate,OFFSET(C57,,,,COUNTA($C$54:$BB$54)-COUNTA($C$54:C$54)+1)-OFFSET(C58,,,,COUNTA($C$54:$BB$54)-COUNTA($C$54:C$54)+1))*(1+real_discount_rate),IF($B96=C$2,C$6,0))</f>
        <v>0</v>
      </c>
      <c r="D96" s="180" cm="1">
        <f t="array" aca="1" ref="D96" ca="1">IF(AND($B96=D$93,$B96=$B97-1),NPV(real_discount_rate,OFFSET(D57,,,,COUNTA($C$54:$BB$54)-COUNTA($C$54:D$54)+1)-OFFSET(D58,,,,COUNTA($C$54:$BB$54)-COUNTA($C$54:D$54)+1))*(1+real_discount_rate),IF($B96=D$2,D$6,0))</f>
        <v>0</v>
      </c>
      <c r="E96" s="180" cm="1">
        <f t="array" aca="1" ref="E96" ca="1">IF(AND($B96=E$93,$B96=$B97-1),NPV(real_discount_rate,OFFSET(E57,,,,COUNTA($C$54:$BB$54)-COUNTA($C$54:E$54)+1)-OFFSET(E58,,,,COUNTA($C$54:$BB$54)-COUNTA($C$54:E$54)+1))*(1+real_discount_rate),IF($B96=E$2,E$6,0))</f>
        <v>190.25690749200956</v>
      </c>
      <c r="F96" s="180" cm="1">
        <f t="array" aca="1" ref="F96" ca="1">IF(AND($B96=F$93,$B96=$B97-1),NPV(real_discount_rate,OFFSET(F57,,,,COUNTA($C$54:$BB$54)-COUNTA($C$54:F$54)+1)-OFFSET(F58,,,,COUNTA($C$54:$BB$54)-COUNTA($C$54:F$54)+1))*(1+real_discount_rate),IF($B96=F$2,F$6,0))</f>
        <v>0</v>
      </c>
      <c r="G96" s="180" cm="1">
        <f t="array" aca="1" ref="G96" ca="1">IF(AND($B96=G$93,$B96=$B97-1),NPV(real_discount_rate,OFFSET(G57,,,,COUNTA($C$54:$BB$54)-COUNTA($C$54:G$54)+1)-OFFSET(G58,,,,COUNTA($C$54:$BB$54)-COUNTA($C$54:G$54)+1))*(1+real_discount_rate),IF($B96=G$2,G$6,0))</f>
        <v>0</v>
      </c>
      <c r="H96" s="180" cm="1">
        <f t="array" aca="1" ref="H96" ca="1">IF(AND($B96=H$93,$B96=$B97-1),NPV(real_discount_rate,OFFSET(H57,,,,COUNTA($C$54:$BB$54)-COUNTA($C$54:H$54)+1)-OFFSET(H58,,,,COUNTA($C$54:$BB$54)-COUNTA($C$54:H$54)+1))*(1+real_discount_rate),IF($B96=H$2,H$6,0))</f>
        <v>0</v>
      </c>
      <c r="I96" s="180" cm="1">
        <f t="array" aca="1" ref="I96" ca="1">IF(AND($B96=I$93,$B96=$B97-1),NPV(real_discount_rate,OFFSET(I57,,,,COUNTA($C$54:$BB$54)-COUNTA($C$54:I$54)+1)-OFFSET(I58,,,,COUNTA($C$54:$BB$54)-COUNTA($C$54:I$54)+1))*(1+real_discount_rate),IF($B96=I$2,I$6,0))</f>
        <v>0</v>
      </c>
      <c r="J96" s="180" cm="1">
        <f t="array" aca="1" ref="J96" ca="1">IF(AND($B96=J$93,$B96=$B97-1),NPV(real_discount_rate,OFFSET(J57,,,,COUNTA($C$54:$BB$54)-COUNTA($C$54:J$54)+1)-OFFSET(J58,,,,COUNTA($C$54:$BB$54)-COUNTA($C$54:J$54)+1))*(1+real_discount_rate),IF($B96=J$2,J$6,0))</f>
        <v>0</v>
      </c>
      <c r="K96" s="180" cm="1">
        <f t="array" aca="1" ref="K96" ca="1">IF(AND($B96=K$93,$B96=$B97-1),NPV(real_discount_rate,OFFSET(K57,,,,COUNTA($C$54:$BB$54)-COUNTA($C$54:K$54)+1)-OFFSET(K58,,,,COUNTA($C$54:$BB$54)-COUNTA($C$54:K$54)+1))*(1+real_discount_rate),IF($B96=K$2,K$6,0))</f>
        <v>0</v>
      </c>
      <c r="L96" s="180" cm="1">
        <f t="array" aca="1" ref="L96" ca="1">IF(AND($B96=L$93,$B96=$B97-1),NPV(real_discount_rate,OFFSET(L57,,,,COUNTA($C$54:$BB$54)-COUNTA($C$54:L$54)+1)-OFFSET(L58,,,,COUNTA($C$54:$BB$54)-COUNTA($C$54:L$54)+1))*(1+real_discount_rate),IF($B96=L$2,L$6,0))</f>
        <v>0</v>
      </c>
      <c r="M96" s="180" cm="1">
        <f t="array" aca="1" ref="M96" ca="1">IF(AND($B96=M$93,$B96=$B97-1),NPV(real_discount_rate,OFFSET(M57,,,,COUNTA($C$54:$BB$54)-COUNTA($C$54:M$54)+1)-OFFSET(M58,,,,COUNTA($C$54:$BB$54)-COUNTA($C$54:M$54)+1))*(1+real_discount_rate),IF($B96=M$2,M$6,0))</f>
        <v>0</v>
      </c>
      <c r="N96" s="180" cm="1">
        <f t="array" aca="1" ref="N96" ca="1">IF(AND($B96=N$93,$B96=$B97-1),NPV(real_discount_rate,OFFSET(N57,,,,COUNTA($C$54:$BB$54)-COUNTA($C$54:N$54)+1)-OFFSET(N58,,,,COUNTA($C$54:$BB$54)-COUNTA($C$54:N$54)+1))*(1+real_discount_rate),IF($B96=N$2,N$6,0))</f>
        <v>0</v>
      </c>
      <c r="O96" s="180" cm="1">
        <f t="array" aca="1" ref="O96" ca="1">IF(AND($B96=O$93,$B96=$B97-1),NPV(real_discount_rate,OFFSET(O57,,,,COUNTA($C$54:$BB$54)-COUNTA($C$54:O$54)+1)-OFFSET(O58,,,,COUNTA($C$54:$BB$54)-COUNTA($C$54:O$54)+1))*(1+real_discount_rate),IF($B96=O$2,O$6,0))</f>
        <v>0</v>
      </c>
      <c r="P96" s="180" cm="1">
        <f t="array" aca="1" ref="P96" ca="1">IF(AND($B96=P$93,$B96=$B97-1),NPV(real_discount_rate,OFFSET(P57,,,,COUNTA($C$54:$BB$54)-COUNTA($C$54:P$54)+1)-OFFSET(P58,,,,COUNTA($C$54:$BB$54)-COUNTA($C$54:P$54)+1))*(1+real_discount_rate),IF($B96=P$2,P$6,0))</f>
        <v>0</v>
      </c>
      <c r="Q96" s="180" cm="1">
        <f t="array" aca="1" ref="Q96" ca="1">IF(AND($B96=Q$93,$B96=$B97-1),NPV(real_discount_rate,OFFSET(Q57,,,,COUNTA($C$54:$BB$54)-COUNTA($C$54:Q$54)+1)-OFFSET(Q58,,,,COUNTA($C$54:$BB$54)-COUNTA($C$54:Q$54)+1))*(1+real_discount_rate),IF($B96=Q$2,Q$6,0))</f>
        <v>0</v>
      </c>
      <c r="R96" s="180" cm="1">
        <f t="array" aca="1" ref="R96" ca="1">IF(AND($B96=R$93,$B96=$B97-1),NPV(real_discount_rate,OFFSET(R57,,,,COUNTA($C$54:$BB$54)-COUNTA($C$54:R$54)+1)-OFFSET(R58,,,,COUNTA($C$54:$BB$54)-COUNTA($C$54:R$54)+1))*(1+real_discount_rate),IF($B96=R$2,R$6,0))</f>
        <v>0</v>
      </c>
      <c r="S96" s="180" cm="1">
        <f t="array" aca="1" ref="S96" ca="1">IF(AND($B96=S$93,$B96=$B97-1),NPV(real_discount_rate,OFFSET(S57,,,,COUNTA($C$54:$BB$54)-COUNTA($C$54:S$54)+1)-OFFSET(S58,,,,COUNTA($C$54:$BB$54)-COUNTA($C$54:S$54)+1))*(1+real_discount_rate),IF($B96=S$2,S$6,0))</f>
        <v>0</v>
      </c>
      <c r="T96" s="180" cm="1">
        <f t="array" aca="1" ref="T96" ca="1">IF(AND($B96=T$93,$B96=$B97-1),NPV(real_discount_rate,OFFSET(T57,,,,COUNTA($C$54:$BB$54)-COUNTA($C$54:T$54)+1)-OFFSET(T58,,,,COUNTA($C$54:$BB$54)-COUNTA($C$54:T$54)+1))*(1+real_discount_rate),IF($B96=T$2,T$6,0))</f>
        <v>0</v>
      </c>
      <c r="U96" s="180" cm="1">
        <f t="array" aca="1" ref="U96" ca="1">IF(AND($B96=U$93,$B96=$B97-1),NPV(real_discount_rate,OFFSET(U57,,,,COUNTA($C$54:$BB$54)-COUNTA($C$54:U$54)+1)-OFFSET(U58,,,,COUNTA($C$54:$BB$54)-COUNTA($C$54:U$54)+1))*(1+real_discount_rate),IF($B96=U$2,U$6,0))</f>
        <v>0</v>
      </c>
      <c r="V96" s="180" cm="1">
        <f t="array" aca="1" ref="V96" ca="1">IF(AND($B96=V$93,$B96=$B97-1),NPV(real_discount_rate,OFFSET(V57,,,,COUNTA($C$54:$BB$54)-COUNTA($C$54:V$54)+1)-OFFSET(V58,,,,COUNTA($C$54:$BB$54)-COUNTA($C$54:V$54)+1))*(1+real_discount_rate),IF($B96=V$2,V$6,0))</f>
        <v>0</v>
      </c>
      <c r="W96" s="180" cm="1">
        <f t="array" aca="1" ref="W96" ca="1">IF(AND($B96=W$93,$B96=$B97-1),NPV(real_discount_rate,OFFSET(W57,,,,COUNTA($C$54:$BB$54)-COUNTA($C$54:W$54)+1)-OFFSET(W58,,,,COUNTA($C$54:$BB$54)-COUNTA($C$54:W$54)+1))*(1+real_discount_rate),IF($B96=W$2,W$6,0))</f>
        <v>0</v>
      </c>
      <c r="X96" s="180" cm="1">
        <f t="array" aca="1" ref="X96" ca="1">IF(AND($B96=X$93,$B96=$B97-1),NPV(real_discount_rate,OFFSET(X57,,,,COUNTA($C$54:$BB$54)-COUNTA($C$54:X$54)+1)-OFFSET(X58,,,,COUNTA($C$54:$BB$54)-COUNTA($C$54:X$54)+1))*(1+real_discount_rate),IF($B96=X$2,X$6,0))</f>
        <v>0</v>
      </c>
      <c r="Y96" s="180" cm="1">
        <f t="array" aca="1" ref="Y96" ca="1">IF(AND($B96=Y$93,$B96=$B97-1),NPV(real_discount_rate,OFFSET(Y57,,,,COUNTA($C$54:$BB$54)-COUNTA($C$54:Y$54)+1)-OFFSET(Y58,,,,COUNTA($C$54:$BB$54)-COUNTA($C$54:Y$54)+1))*(1+real_discount_rate),IF($B96=Y$2,Y$6,0))</f>
        <v>0</v>
      </c>
      <c r="Z96" s="180" cm="1">
        <f t="array" aca="1" ref="Z96" ca="1">IF(AND($B96=Z$93,$B96=$B97-1),NPV(real_discount_rate,OFFSET(Z57,,,,COUNTA($C$54:$BB$54)-COUNTA($C$54:Z$54)+1)-OFFSET(Z58,,,,COUNTA($C$54:$BB$54)-COUNTA($C$54:Z$54)+1))*(1+real_discount_rate),IF($B96=Z$2,Z$6,0))</f>
        <v>0</v>
      </c>
      <c r="AA96" s="180" cm="1">
        <f t="array" aca="1" ref="AA96" ca="1">IF(AND($B96=AA$93,$B96=$B97-1),NPV(real_discount_rate,OFFSET(AA57,,,,COUNTA($C$54:$BB$54)-COUNTA($C$54:AA$54)+1)-OFFSET(AA58,,,,COUNTA($C$54:$BB$54)-COUNTA($C$54:AA$54)+1))*(1+real_discount_rate),IF($B96=AA$2,AA$6,0))</f>
        <v>0</v>
      </c>
      <c r="AB96" s="180" cm="1">
        <f t="array" aca="1" ref="AB96" ca="1">IF(AND($B96=AB$93,$B96=$B97-1),NPV(real_discount_rate,OFFSET(AB57,,,,COUNTA($C$54:$BB$54)-COUNTA($C$54:AB$54)+1)-OFFSET(AB58,,,,COUNTA($C$54:$BB$54)-COUNTA($C$54:AB$54)+1))*(1+real_discount_rate),IF($B96=AB$2,AB$6,0))</f>
        <v>0</v>
      </c>
      <c r="AC96" s="180" cm="1">
        <f t="array" aca="1" ref="AC96" ca="1">IF(AND($B96=AC$93,$B96=$B97-1),NPV(real_discount_rate,OFFSET(AC57,,,,COUNTA($C$54:$BB$54)-COUNTA($C$54:AC$54)+1)-OFFSET(AC58,,,,COUNTA($C$54:$BB$54)-COUNTA($C$54:AC$54)+1))*(1+real_discount_rate),IF($B96=AC$2,AC$6,0))</f>
        <v>0</v>
      </c>
      <c r="AD96" s="180" cm="1">
        <f t="array" aca="1" ref="AD96" ca="1">IF(AND($B96=AD$93,$B96=$B97-1),NPV(real_discount_rate,OFFSET(AD57,,,,COUNTA($C$54:$BB$54)-COUNTA($C$54:AD$54)+1)-OFFSET(AD58,,,,COUNTA($C$54:$BB$54)-COUNTA($C$54:AD$54)+1))*(1+real_discount_rate),IF($B96=AD$2,AD$6,0))</f>
        <v>0</v>
      </c>
      <c r="AE96" s="180" cm="1">
        <f t="array" aca="1" ref="AE96" ca="1">IF(AND($B96=AE$93,$B96=$B97-1),NPV(real_discount_rate,OFFSET(AE57,,,,COUNTA($C$54:$BB$54)-COUNTA($C$54:AE$54)+1)-OFFSET(AE58,,,,COUNTA($C$54:$BB$54)-COUNTA($C$54:AE$54)+1))*(1+real_discount_rate),IF($B96=AE$2,AE$6,0))</f>
        <v>0</v>
      </c>
      <c r="AF96" s="180" cm="1">
        <f t="array" aca="1" ref="AF96" ca="1">IF(AND($B96=AF$93,$B96=$B97-1),NPV(real_discount_rate,OFFSET(AF57,,,,COUNTA($C$54:$BB$54)-COUNTA($C$54:AF$54)+1)-OFFSET(AF58,,,,COUNTA($C$54:$BB$54)-COUNTA($C$54:AF$54)+1))*(1+real_discount_rate),IF($B96=AF$2,AF$6,0))</f>
        <v>0</v>
      </c>
      <c r="AG96" s="180" cm="1">
        <f t="array" aca="1" ref="AG96" ca="1">IF(AND($B96=AG$93,$B96=$B97-1),NPV(real_discount_rate,OFFSET(AG57,,,,COUNTA($C$54:$BB$54)-COUNTA($C$54:AG$54)+1)-OFFSET(AG58,,,,COUNTA($C$54:$BB$54)-COUNTA($C$54:AG$54)+1))*(1+real_discount_rate),IF($B96=AG$2,AG$6,0))</f>
        <v>0</v>
      </c>
      <c r="AH96" s="649" cm="1">
        <f t="array" aca="1" ref="AH96" ca="1">IF(AND($B96=AH$93,$B96=$B97-1),NPV(real_discount_rate,OFFSET(AH57,,,,COUNTA($C$54:$BB$54)-COUNTA($C$54:AH$54)+1)-OFFSET(AH58,,,,COUNTA($C$54:$BB$54)-COUNTA($C$54:AH$54)+1))*(1+real_discount_rate),IF($B96=AH$2,AH$6,0))</f>
        <v>0</v>
      </c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182"/>
      <c r="BC96" s="410"/>
    </row>
    <row r="97" spans="2:55" x14ac:dyDescent="0.3">
      <c r="B97" s="28">
        <v>2024</v>
      </c>
      <c r="C97" s="179" cm="1">
        <f t="array" aca="1" ref="C97" ca="1">IF(AND($B97=C$93,$B97=$B98-1),NPV(real_discount_rate,OFFSET(C58,,,,COUNTA($C$54:$BB$54)-COUNTA($C$54:C$54)+1)-OFFSET(C59,,,,COUNTA($C$54:$BB$54)-COUNTA($C$54:C$54)+1))*(1+real_discount_rate),IF($B97=C$2,C$6,0))</f>
        <v>0</v>
      </c>
      <c r="D97" s="180" cm="1">
        <f t="array" aca="1" ref="D97" ca="1">IF(AND($B97=D$93,$B97=$B98-1),NPV(real_discount_rate,OFFSET(D58,,,,COUNTA($C$54:$BB$54)-COUNTA($C$54:D$54)+1)-OFFSET(D59,,,,COUNTA($C$54:$BB$54)-COUNTA($C$54:D$54)+1))*(1+real_discount_rate),IF($B97=D$2,D$6,0))</f>
        <v>0</v>
      </c>
      <c r="E97" s="180" cm="1">
        <f t="array" aca="1" ref="E97" ca="1">IF(AND($B97=E$93,$B97=$B98-1),NPV(real_discount_rate,OFFSET(E58,,,,COUNTA($C$54:$BB$54)-COUNTA($C$54:E$54)+1)-OFFSET(E59,,,,COUNTA($C$54:$BB$54)-COUNTA($C$54:E$54)+1))*(1+real_discount_rate),IF($B97=E$2,E$6,0))</f>
        <v>0</v>
      </c>
      <c r="F97" s="180" cm="1">
        <f t="array" aca="1" ref="F97" ca="1">IF(AND($B97=F$93,$B97=$B98-1),NPV(real_discount_rate,OFFSET(F58,,,,COUNTA($C$54:$BB$54)-COUNTA($C$54:F$54)+1)-OFFSET(F59,,,,COUNTA($C$54:$BB$54)-COUNTA($C$54:F$54)+1))*(1+real_discount_rate),IF($B97=F$2,F$6,0))</f>
        <v>164.54975297826292</v>
      </c>
      <c r="G97" s="180" cm="1">
        <f t="array" aca="1" ref="G97" ca="1">IF(AND($B97=G$93,$B97=$B98-1),NPV(real_discount_rate,OFFSET(G58,,,,COUNTA($C$54:$BB$54)-COUNTA($C$54:G$54)+1)-OFFSET(G59,,,,COUNTA($C$54:$BB$54)-COUNTA($C$54:G$54)+1))*(1+real_discount_rate),IF($B97=G$2,G$6,0))</f>
        <v>0</v>
      </c>
      <c r="H97" s="180" cm="1">
        <f t="array" aca="1" ref="H97" ca="1">IF(AND($B97=H$93,$B97=$B98-1),NPV(real_discount_rate,OFFSET(H58,,,,COUNTA($C$54:$BB$54)-COUNTA($C$54:H$54)+1)-OFFSET(H59,,,,COUNTA($C$54:$BB$54)-COUNTA($C$54:H$54)+1))*(1+real_discount_rate),IF($B97=H$2,H$6,0))</f>
        <v>0</v>
      </c>
      <c r="I97" s="180" cm="1">
        <f t="array" aca="1" ref="I97" ca="1">IF(AND($B97=I$93,$B97=$B98-1),NPV(real_discount_rate,OFFSET(I58,,,,COUNTA($C$54:$BB$54)-COUNTA($C$54:I$54)+1)-OFFSET(I59,,,,COUNTA($C$54:$BB$54)-COUNTA($C$54:I$54)+1))*(1+real_discount_rate),IF($B97=I$2,I$6,0))</f>
        <v>0</v>
      </c>
      <c r="J97" s="180" cm="1">
        <f t="array" aca="1" ref="J97" ca="1">IF(AND($B97=J$93,$B97=$B98-1),NPV(real_discount_rate,OFFSET(J58,,,,COUNTA($C$54:$BB$54)-COUNTA($C$54:J$54)+1)-OFFSET(J59,,,,COUNTA($C$54:$BB$54)-COUNTA($C$54:J$54)+1))*(1+real_discount_rate),IF($B97=J$2,J$6,0))</f>
        <v>0</v>
      </c>
      <c r="K97" s="180" cm="1">
        <f t="array" aca="1" ref="K97" ca="1">IF(AND($B97=K$93,$B97=$B98-1),NPV(real_discount_rate,OFFSET(K58,,,,COUNTA($C$54:$BB$54)-COUNTA($C$54:K$54)+1)-OFFSET(K59,,,,COUNTA($C$54:$BB$54)-COUNTA($C$54:K$54)+1))*(1+real_discount_rate),IF($B97=K$2,K$6,0))</f>
        <v>0</v>
      </c>
      <c r="L97" s="180" cm="1">
        <f t="array" aca="1" ref="L97" ca="1">IF(AND($B97=L$93,$B97=$B98-1),NPV(real_discount_rate,OFFSET(L58,,,,COUNTA($C$54:$BB$54)-COUNTA($C$54:L$54)+1)-OFFSET(L59,,,,COUNTA($C$54:$BB$54)-COUNTA($C$54:L$54)+1))*(1+real_discount_rate),IF($B97=L$2,L$6,0))</f>
        <v>0</v>
      </c>
      <c r="M97" s="180" cm="1">
        <f t="array" aca="1" ref="M97" ca="1">IF(AND($B97=M$93,$B97=$B98-1),NPV(real_discount_rate,OFFSET(M58,,,,COUNTA($C$54:$BB$54)-COUNTA($C$54:M$54)+1)-OFFSET(M59,,,,COUNTA($C$54:$BB$54)-COUNTA($C$54:M$54)+1))*(1+real_discount_rate),IF($B97=M$2,M$6,0))</f>
        <v>0</v>
      </c>
      <c r="N97" s="180" cm="1">
        <f t="array" aca="1" ref="N97" ca="1">IF(AND($B97=N$93,$B97=$B98-1),NPV(real_discount_rate,OFFSET(N58,,,,COUNTA($C$54:$BB$54)-COUNTA($C$54:N$54)+1)-OFFSET(N59,,,,COUNTA($C$54:$BB$54)-COUNTA($C$54:N$54)+1))*(1+real_discount_rate),IF($B97=N$2,N$6,0))</f>
        <v>0</v>
      </c>
      <c r="O97" s="180" cm="1">
        <f t="array" aca="1" ref="O97" ca="1">IF(AND($B97=O$93,$B97=$B98-1),NPV(real_discount_rate,OFFSET(O58,,,,COUNTA($C$54:$BB$54)-COUNTA($C$54:O$54)+1)-OFFSET(O59,,,,COUNTA($C$54:$BB$54)-COUNTA($C$54:O$54)+1))*(1+real_discount_rate),IF($B97=O$2,O$6,0))</f>
        <v>0</v>
      </c>
      <c r="P97" s="180" cm="1">
        <f t="array" aca="1" ref="P97" ca="1">IF(AND($B97=P$93,$B97=$B98-1),NPV(real_discount_rate,OFFSET(P58,,,,COUNTA($C$54:$BB$54)-COUNTA($C$54:P$54)+1)-OFFSET(P59,,,,COUNTA($C$54:$BB$54)-COUNTA($C$54:P$54)+1))*(1+real_discount_rate),IF($B97=P$2,P$6,0))</f>
        <v>0</v>
      </c>
      <c r="Q97" s="180" cm="1">
        <f t="array" aca="1" ref="Q97" ca="1">IF(AND($B97=Q$93,$B97=$B98-1),NPV(real_discount_rate,OFFSET(Q58,,,,COUNTA($C$54:$BB$54)-COUNTA($C$54:Q$54)+1)-OFFSET(Q59,,,,COUNTA($C$54:$BB$54)-COUNTA($C$54:Q$54)+1))*(1+real_discount_rate),IF($B97=Q$2,Q$6,0))</f>
        <v>0</v>
      </c>
      <c r="R97" s="180" cm="1">
        <f t="array" aca="1" ref="R97" ca="1">IF(AND($B97=R$93,$B97=$B98-1),NPV(real_discount_rate,OFFSET(R58,,,,COUNTA($C$54:$BB$54)-COUNTA($C$54:R$54)+1)-OFFSET(R59,,,,COUNTA($C$54:$BB$54)-COUNTA($C$54:R$54)+1))*(1+real_discount_rate),IF($B97=R$2,R$6,0))</f>
        <v>0</v>
      </c>
      <c r="S97" s="180" cm="1">
        <f t="array" aca="1" ref="S97" ca="1">IF(AND($B97=S$93,$B97=$B98-1),NPV(real_discount_rate,OFFSET(S58,,,,COUNTA($C$54:$BB$54)-COUNTA($C$54:S$54)+1)-OFFSET(S59,,,,COUNTA($C$54:$BB$54)-COUNTA($C$54:S$54)+1))*(1+real_discount_rate),IF($B97=S$2,S$6,0))</f>
        <v>0</v>
      </c>
      <c r="T97" s="180" cm="1">
        <f t="array" aca="1" ref="T97" ca="1">IF(AND($B97=T$93,$B97=$B98-1),NPV(real_discount_rate,OFFSET(T58,,,,COUNTA($C$54:$BB$54)-COUNTA($C$54:T$54)+1)-OFFSET(T59,,,,COUNTA($C$54:$BB$54)-COUNTA($C$54:T$54)+1))*(1+real_discount_rate),IF($B97=T$2,T$6,0))</f>
        <v>0</v>
      </c>
      <c r="U97" s="180" cm="1">
        <f t="array" aca="1" ref="U97" ca="1">IF(AND($B97=U$93,$B97=$B98-1),NPV(real_discount_rate,OFFSET(U58,,,,COUNTA($C$54:$BB$54)-COUNTA($C$54:U$54)+1)-OFFSET(U59,,,,COUNTA($C$54:$BB$54)-COUNTA($C$54:U$54)+1))*(1+real_discount_rate),IF($B97=U$2,U$6,0))</f>
        <v>0</v>
      </c>
      <c r="V97" s="180" cm="1">
        <f t="array" aca="1" ref="V97" ca="1">IF(AND($B97=V$93,$B97=$B98-1),NPV(real_discount_rate,OFFSET(V58,,,,COUNTA($C$54:$BB$54)-COUNTA($C$54:V$54)+1)-OFFSET(V59,,,,COUNTA($C$54:$BB$54)-COUNTA($C$54:V$54)+1))*(1+real_discount_rate),IF($B97=V$2,V$6,0))</f>
        <v>0</v>
      </c>
      <c r="W97" s="180" cm="1">
        <f t="array" aca="1" ref="W97" ca="1">IF(AND($B97=W$93,$B97=$B98-1),NPV(real_discount_rate,OFFSET(W58,,,,COUNTA($C$54:$BB$54)-COUNTA($C$54:W$54)+1)-OFFSET(W59,,,,COUNTA($C$54:$BB$54)-COUNTA($C$54:W$54)+1))*(1+real_discount_rate),IF($B97=W$2,W$6,0))</f>
        <v>0</v>
      </c>
      <c r="X97" s="180" cm="1">
        <f t="array" aca="1" ref="X97" ca="1">IF(AND($B97=X$93,$B97=$B98-1),NPV(real_discount_rate,OFFSET(X58,,,,COUNTA($C$54:$BB$54)-COUNTA($C$54:X$54)+1)-OFFSET(X59,,,,COUNTA($C$54:$BB$54)-COUNTA($C$54:X$54)+1))*(1+real_discount_rate),IF($B97=X$2,X$6,0))</f>
        <v>0</v>
      </c>
      <c r="Y97" s="180" cm="1">
        <f t="array" aca="1" ref="Y97" ca="1">IF(AND($B97=Y$93,$B97=$B98-1),NPV(real_discount_rate,OFFSET(Y58,,,,COUNTA($C$54:$BB$54)-COUNTA($C$54:Y$54)+1)-OFFSET(Y59,,,,COUNTA($C$54:$BB$54)-COUNTA($C$54:Y$54)+1))*(1+real_discount_rate),IF($B97=Y$2,Y$6,0))</f>
        <v>0</v>
      </c>
      <c r="Z97" s="180" cm="1">
        <f t="array" aca="1" ref="Z97" ca="1">IF(AND($B97=Z$93,$B97=$B98-1),NPV(real_discount_rate,OFFSET(Z58,,,,COUNTA($C$54:$BB$54)-COUNTA($C$54:Z$54)+1)-OFFSET(Z59,,,,COUNTA($C$54:$BB$54)-COUNTA($C$54:Z$54)+1))*(1+real_discount_rate),IF($B97=Z$2,Z$6,0))</f>
        <v>0</v>
      </c>
      <c r="AA97" s="180" cm="1">
        <f t="array" aca="1" ref="AA97" ca="1">IF(AND($B97=AA$93,$B97=$B98-1),NPV(real_discount_rate,OFFSET(AA58,,,,COUNTA($C$54:$BB$54)-COUNTA($C$54:AA$54)+1)-OFFSET(AA59,,,,COUNTA($C$54:$BB$54)-COUNTA($C$54:AA$54)+1))*(1+real_discount_rate),IF($B97=AA$2,AA$6,0))</f>
        <v>0</v>
      </c>
      <c r="AB97" s="180" cm="1">
        <f t="array" aca="1" ref="AB97" ca="1">IF(AND($B97=AB$93,$B97=$B98-1),NPV(real_discount_rate,OFFSET(AB58,,,,COUNTA($C$54:$BB$54)-COUNTA($C$54:AB$54)+1)-OFFSET(AB59,,,,COUNTA($C$54:$BB$54)-COUNTA($C$54:AB$54)+1))*(1+real_discount_rate),IF($B97=AB$2,AB$6,0))</f>
        <v>0</v>
      </c>
      <c r="AC97" s="180" cm="1">
        <f t="array" aca="1" ref="AC97" ca="1">IF(AND($B97=AC$93,$B97=$B98-1),NPV(real_discount_rate,OFFSET(AC58,,,,COUNTA($C$54:$BB$54)-COUNTA($C$54:AC$54)+1)-OFFSET(AC59,,,,COUNTA($C$54:$BB$54)-COUNTA($C$54:AC$54)+1))*(1+real_discount_rate),IF($B97=AC$2,AC$6,0))</f>
        <v>0</v>
      </c>
      <c r="AD97" s="180" cm="1">
        <f t="array" aca="1" ref="AD97" ca="1">IF(AND($B97=AD$93,$B97=$B98-1),NPV(real_discount_rate,OFFSET(AD58,,,,COUNTA($C$54:$BB$54)-COUNTA($C$54:AD$54)+1)-OFFSET(AD59,,,,COUNTA($C$54:$BB$54)-COUNTA($C$54:AD$54)+1))*(1+real_discount_rate),IF($B97=AD$2,AD$6,0))</f>
        <v>0</v>
      </c>
      <c r="AE97" s="180" cm="1">
        <f t="array" aca="1" ref="AE97" ca="1">IF(AND($B97=AE$93,$B97=$B98-1),NPV(real_discount_rate,OFFSET(AE58,,,,COUNTA($C$54:$BB$54)-COUNTA($C$54:AE$54)+1)-OFFSET(AE59,,,,COUNTA($C$54:$BB$54)-COUNTA($C$54:AE$54)+1))*(1+real_discount_rate),IF($B97=AE$2,AE$6,0))</f>
        <v>0</v>
      </c>
      <c r="AF97" s="180" cm="1">
        <f t="array" aca="1" ref="AF97" ca="1">IF(AND($B97=AF$93,$B97=$B98-1),NPV(real_discount_rate,OFFSET(AF58,,,,COUNTA($C$54:$BB$54)-COUNTA($C$54:AF$54)+1)-OFFSET(AF59,,,,COUNTA($C$54:$BB$54)-COUNTA($C$54:AF$54)+1))*(1+real_discount_rate),IF($B97=AF$2,AF$6,0))</f>
        <v>0</v>
      </c>
      <c r="AG97" s="180" cm="1">
        <f t="array" aca="1" ref="AG97" ca="1">IF(AND($B97=AG$93,$B97=$B98-1),NPV(real_discount_rate,OFFSET(AG58,,,,COUNTA($C$54:$BB$54)-COUNTA($C$54:AG$54)+1)-OFFSET(AG59,,,,COUNTA($C$54:$BB$54)-COUNTA($C$54:AG$54)+1))*(1+real_discount_rate),IF($B97=AG$2,AG$6,0))</f>
        <v>0</v>
      </c>
      <c r="AH97" s="649" cm="1">
        <f t="array" aca="1" ref="AH97" ca="1">IF(AND($B97=AH$93,$B97=$B98-1),NPV(real_discount_rate,OFFSET(AH58,,,,COUNTA($C$54:$BB$54)-COUNTA($C$54:AH$54)+1)-OFFSET(AH59,,,,COUNTA($C$54:$BB$54)-COUNTA($C$54:AH$54)+1))*(1+real_discount_rate),IF($B97=AH$2,AH$6,0))</f>
        <v>0</v>
      </c>
      <c r="AI97" s="653"/>
      <c r="AJ97" s="653"/>
      <c r="AK97" s="653"/>
      <c r="AL97" s="653"/>
      <c r="AM97" s="653"/>
      <c r="AN97" s="653"/>
      <c r="AO97" s="653"/>
      <c r="AP97" s="653"/>
      <c r="AQ97" s="653"/>
      <c r="AR97" s="653"/>
      <c r="AS97" s="653"/>
      <c r="AT97" s="653"/>
      <c r="AU97" s="653"/>
      <c r="AV97" s="653"/>
      <c r="AW97" s="653"/>
      <c r="AX97" s="653"/>
      <c r="AY97" s="653"/>
      <c r="AZ97" s="653"/>
      <c r="BA97" s="653"/>
      <c r="BB97" s="182"/>
      <c r="BC97" s="410"/>
    </row>
    <row r="98" spans="2:55" x14ac:dyDescent="0.3">
      <c r="B98" s="28">
        <v>2025</v>
      </c>
      <c r="C98" s="179" cm="1">
        <f t="array" aca="1" ref="C98" ca="1">IF(AND($B98=C$93,$B98=$B99-1),NPV(real_discount_rate,OFFSET(C59,,,,COUNTA($C$54:$BB$54)-COUNTA($C$54:C$54)+1)-OFFSET(C60,,,,COUNTA($C$54:$BB$54)-COUNTA($C$54:C$54)+1))*(1+real_discount_rate),IF($B98=C$2,C$6,0))</f>
        <v>0</v>
      </c>
      <c r="D98" s="180" cm="1">
        <f t="array" aca="1" ref="D98" ca="1">IF(AND($B98=D$93,$B98=$B99-1),NPV(real_discount_rate,OFFSET(D59,,,,COUNTA($C$54:$BB$54)-COUNTA($C$54:D$54)+1)-OFFSET(D60,,,,COUNTA($C$54:$BB$54)-COUNTA($C$54:D$54)+1))*(1+real_discount_rate),IF($B98=D$2,D$6,0))</f>
        <v>0</v>
      </c>
      <c r="E98" s="180" cm="1">
        <f t="array" aca="1" ref="E98" ca="1">IF(AND($B98=E$93,$B98=$B99-1),NPV(real_discount_rate,OFFSET(E59,,,,COUNTA($C$54:$BB$54)-COUNTA($C$54:E$54)+1)-OFFSET(E60,,,,COUNTA($C$54:$BB$54)-COUNTA($C$54:E$54)+1))*(1+real_discount_rate),IF($B98=E$2,E$6,0))</f>
        <v>0</v>
      </c>
      <c r="F98" s="180" cm="1">
        <f t="array" aca="1" ref="F98" ca="1">IF(AND($B98=F$93,$B98=$B99-1),NPV(real_discount_rate,OFFSET(F59,,,,COUNTA($C$54:$BB$54)-COUNTA($C$54:F$54)+1)-OFFSET(F60,,,,COUNTA($C$54:$BB$54)-COUNTA($C$54:F$54)+1))*(1+real_discount_rate),IF($B98=F$2,F$6,0))</f>
        <v>0</v>
      </c>
      <c r="G98" s="180" cm="1">
        <f t="array" aca="1" ref="G98" ca="1">IF(AND($B98=G$93,$B98=$B99-1),NPV(real_discount_rate,OFFSET(G59,,,,COUNTA($C$54:$BB$54)-COUNTA($C$54:G$54)+1)-OFFSET(G60,,,,COUNTA($C$54:$BB$54)-COUNTA($C$54:G$54)+1))*(1+real_discount_rate),IF($B98=G$2,G$6,0))</f>
        <v>133.78048592833395</v>
      </c>
      <c r="H98" s="180" cm="1">
        <f t="array" aca="1" ref="H98" ca="1">IF(AND($B98=H$93,$B98=$B99-1),NPV(real_discount_rate,OFFSET(H59,,,,COUNTA($C$54:$BB$54)-COUNTA($C$54:H$54)+1)-OFFSET(H60,,,,COUNTA($C$54:$BB$54)-COUNTA($C$54:H$54)+1))*(1+real_discount_rate),IF($B98=H$2,H$6,0))</f>
        <v>0</v>
      </c>
      <c r="I98" s="180" cm="1">
        <f t="array" aca="1" ref="I98" ca="1">IF(AND($B98=I$93,$B98=$B99-1),NPV(real_discount_rate,OFFSET(I59,,,,COUNTA($C$54:$BB$54)-COUNTA($C$54:I$54)+1)-OFFSET(I60,,,,COUNTA($C$54:$BB$54)-COUNTA($C$54:I$54)+1))*(1+real_discount_rate),IF($B98=I$2,I$6,0))</f>
        <v>0</v>
      </c>
      <c r="J98" s="180" cm="1">
        <f t="array" aca="1" ref="J98" ca="1">IF(AND($B98=J$93,$B98=$B99-1),NPV(real_discount_rate,OFFSET(J59,,,,COUNTA($C$54:$BB$54)-COUNTA($C$54:J$54)+1)-OFFSET(J60,,,,COUNTA($C$54:$BB$54)-COUNTA($C$54:J$54)+1))*(1+real_discount_rate),IF($B98=J$2,J$6,0))</f>
        <v>0</v>
      </c>
      <c r="K98" s="180" cm="1">
        <f t="array" aca="1" ref="K98" ca="1">IF(AND($B98=K$93,$B98=$B99-1),NPV(real_discount_rate,OFFSET(K59,,,,COUNTA($C$54:$BB$54)-COUNTA($C$54:K$54)+1)-OFFSET(K60,,,,COUNTA($C$54:$BB$54)-COUNTA($C$54:K$54)+1))*(1+real_discount_rate),IF($B98=K$2,K$6,0))</f>
        <v>0</v>
      </c>
      <c r="L98" s="180" cm="1">
        <f t="array" aca="1" ref="L98" ca="1">IF(AND($B98=L$93,$B98=$B99-1),NPV(real_discount_rate,OFFSET(L59,,,,COUNTA($C$54:$BB$54)-COUNTA($C$54:L$54)+1)-OFFSET(L60,,,,COUNTA($C$54:$BB$54)-COUNTA($C$54:L$54)+1))*(1+real_discount_rate),IF($B98=L$2,L$6,0))</f>
        <v>0</v>
      </c>
      <c r="M98" s="180" cm="1">
        <f t="array" aca="1" ref="M98" ca="1">IF(AND($B98=M$93,$B98=$B99-1),NPV(real_discount_rate,OFFSET(M59,,,,COUNTA($C$54:$BB$54)-COUNTA($C$54:M$54)+1)-OFFSET(M60,,,,COUNTA($C$54:$BB$54)-COUNTA($C$54:M$54)+1))*(1+real_discount_rate),IF($B98=M$2,M$6,0))</f>
        <v>0</v>
      </c>
      <c r="N98" s="180" cm="1">
        <f t="array" aca="1" ref="N98" ca="1">IF(AND($B98=N$93,$B98=$B99-1),NPV(real_discount_rate,OFFSET(N59,,,,COUNTA($C$54:$BB$54)-COUNTA($C$54:N$54)+1)-OFFSET(N60,,,,COUNTA($C$54:$BB$54)-COUNTA($C$54:N$54)+1))*(1+real_discount_rate),IF($B98=N$2,N$6,0))</f>
        <v>0</v>
      </c>
      <c r="O98" s="180" cm="1">
        <f t="array" aca="1" ref="O98" ca="1">IF(AND($B98=O$93,$B98=$B99-1),NPV(real_discount_rate,OFFSET(O59,,,,COUNTA($C$54:$BB$54)-COUNTA($C$54:O$54)+1)-OFFSET(O60,,,,COUNTA($C$54:$BB$54)-COUNTA($C$54:O$54)+1))*(1+real_discount_rate),IF($B98=O$2,O$6,0))</f>
        <v>0</v>
      </c>
      <c r="P98" s="180" cm="1">
        <f t="array" aca="1" ref="P98" ca="1">IF(AND($B98=P$93,$B98=$B99-1),NPV(real_discount_rate,OFFSET(P59,,,,COUNTA($C$54:$BB$54)-COUNTA($C$54:P$54)+1)-OFFSET(P60,,,,COUNTA($C$54:$BB$54)-COUNTA($C$54:P$54)+1))*(1+real_discount_rate),IF($B98=P$2,P$6,0))</f>
        <v>0</v>
      </c>
      <c r="Q98" s="180" cm="1">
        <f t="array" aca="1" ref="Q98" ca="1">IF(AND($B98=Q$93,$B98=$B99-1),NPV(real_discount_rate,OFFSET(Q59,,,,COUNTA($C$54:$BB$54)-COUNTA($C$54:Q$54)+1)-OFFSET(Q60,,,,COUNTA($C$54:$BB$54)-COUNTA($C$54:Q$54)+1))*(1+real_discount_rate),IF($B98=Q$2,Q$6,0))</f>
        <v>0</v>
      </c>
      <c r="R98" s="180" cm="1">
        <f t="array" aca="1" ref="R98" ca="1">IF(AND($B98=R$93,$B98=$B99-1),NPV(real_discount_rate,OFFSET(R59,,,,COUNTA($C$54:$BB$54)-COUNTA($C$54:R$54)+1)-OFFSET(R60,,,,COUNTA($C$54:$BB$54)-COUNTA($C$54:R$54)+1))*(1+real_discount_rate),IF($B98=R$2,R$6,0))</f>
        <v>0</v>
      </c>
      <c r="S98" s="180" cm="1">
        <f t="array" aca="1" ref="S98" ca="1">IF(AND($B98=S$93,$B98=$B99-1),NPV(real_discount_rate,OFFSET(S59,,,,COUNTA($C$54:$BB$54)-COUNTA($C$54:S$54)+1)-OFFSET(S60,,,,COUNTA($C$54:$BB$54)-COUNTA($C$54:S$54)+1))*(1+real_discount_rate),IF($B98=S$2,S$6,0))</f>
        <v>0</v>
      </c>
      <c r="T98" s="180" cm="1">
        <f t="array" aca="1" ref="T98" ca="1">IF(AND($B98=T$93,$B98=$B99-1),NPV(real_discount_rate,OFFSET(T59,,,,COUNTA($C$54:$BB$54)-COUNTA($C$54:T$54)+1)-OFFSET(T60,,,,COUNTA($C$54:$BB$54)-COUNTA($C$54:T$54)+1))*(1+real_discount_rate),IF($B98=T$2,T$6,0))</f>
        <v>0</v>
      </c>
      <c r="U98" s="180" cm="1">
        <f t="array" aca="1" ref="U98" ca="1">IF(AND($B98=U$93,$B98=$B99-1),NPV(real_discount_rate,OFFSET(U59,,,,COUNTA($C$54:$BB$54)-COUNTA($C$54:U$54)+1)-OFFSET(U60,,,,COUNTA($C$54:$BB$54)-COUNTA($C$54:U$54)+1))*(1+real_discount_rate),IF($B98=U$2,U$6,0))</f>
        <v>0</v>
      </c>
      <c r="V98" s="180" cm="1">
        <f t="array" aca="1" ref="V98" ca="1">IF(AND($B98=V$93,$B98=$B99-1),NPV(real_discount_rate,OFFSET(V59,,,,COUNTA($C$54:$BB$54)-COUNTA($C$54:V$54)+1)-OFFSET(V60,,,,COUNTA($C$54:$BB$54)-COUNTA($C$54:V$54)+1))*(1+real_discount_rate),IF($B98=V$2,V$6,0))</f>
        <v>0</v>
      </c>
      <c r="W98" s="180" cm="1">
        <f t="array" aca="1" ref="W98" ca="1">IF(AND($B98=W$93,$B98=$B99-1),NPV(real_discount_rate,OFFSET(W59,,,,COUNTA($C$54:$BB$54)-COUNTA($C$54:W$54)+1)-OFFSET(W60,,,,COUNTA($C$54:$BB$54)-COUNTA($C$54:W$54)+1))*(1+real_discount_rate),IF($B98=W$2,W$6,0))</f>
        <v>0</v>
      </c>
      <c r="X98" s="180" cm="1">
        <f t="array" aca="1" ref="X98" ca="1">IF(AND($B98=X$93,$B98=$B99-1),NPV(real_discount_rate,OFFSET(X59,,,,COUNTA($C$54:$BB$54)-COUNTA($C$54:X$54)+1)-OFFSET(X60,,,,COUNTA($C$54:$BB$54)-COUNTA($C$54:X$54)+1))*(1+real_discount_rate),IF($B98=X$2,X$6,0))</f>
        <v>0</v>
      </c>
      <c r="Y98" s="180" cm="1">
        <f t="array" aca="1" ref="Y98" ca="1">IF(AND($B98=Y$93,$B98=$B99-1),NPV(real_discount_rate,OFFSET(Y59,,,,COUNTA($C$54:$BB$54)-COUNTA($C$54:Y$54)+1)-OFFSET(Y60,,,,COUNTA($C$54:$BB$54)-COUNTA($C$54:Y$54)+1))*(1+real_discount_rate),IF($B98=Y$2,Y$6,0))</f>
        <v>0</v>
      </c>
      <c r="Z98" s="180" cm="1">
        <f t="array" aca="1" ref="Z98" ca="1">IF(AND($B98=Z$93,$B98=$B99-1),NPV(real_discount_rate,OFFSET(Z59,,,,COUNTA($C$54:$BB$54)-COUNTA($C$54:Z$54)+1)-OFFSET(Z60,,,,COUNTA($C$54:$BB$54)-COUNTA($C$54:Z$54)+1))*(1+real_discount_rate),IF($B98=Z$2,Z$6,0))</f>
        <v>0</v>
      </c>
      <c r="AA98" s="180" cm="1">
        <f t="array" aca="1" ref="AA98" ca="1">IF(AND($B98=AA$93,$B98=$B99-1),NPV(real_discount_rate,OFFSET(AA59,,,,COUNTA($C$54:$BB$54)-COUNTA($C$54:AA$54)+1)-OFFSET(AA60,,,,COUNTA($C$54:$BB$54)-COUNTA($C$54:AA$54)+1))*(1+real_discount_rate),IF($B98=AA$2,AA$6,0))</f>
        <v>0</v>
      </c>
      <c r="AB98" s="180" cm="1">
        <f t="array" aca="1" ref="AB98" ca="1">IF(AND($B98=AB$93,$B98=$B99-1),NPV(real_discount_rate,OFFSET(AB59,,,,COUNTA($C$54:$BB$54)-COUNTA($C$54:AB$54)+1)-OFFSET(AB60,,,,COUNTA($C$54:$BB$54)-COUNTA($C$54:AB$54)+1))*(1+real_discount_rate),IF($B98=AB$2,AB$6,0))</f>
        <v>0</v>
      </c>
      <c r="AC98" s="180" cm="1">
        <f t="array" aca="1" ref="AC98" ca="1">IF(AND($B98=AC$93,$B98=$B99-1),NPV(real_discount_rate,OFFSET(AC59,,,,COUNTA($C$54:$BB$54)-COUNTA($C$54:AC$54)+1)-OFFSET(AC60,,,,COUNTA($C$54:$BB$54)-COUNTA($C$54:AC$54)+1))*(1+real_discount_rate),IF($B98=AC$2,AC$6,0))</f>
        <v>0</v>
      </c>
      <c r="AD98" s="180" cm="1">
        <f t="array" aca="1" ref="AD98" ca="1">IF(AND($B98=AD$93,$B98=$B99-1),NPV(real_discount_rate,OFFSET(AD59,,,,COUNTA($C$54:$BB$54)-COUNTA($C$54:AD$54)+1)-OFFSET(AD60,,,,COUNTA($C$54:$BB$54)-COUNTA($C$54:AD$54)+1))*(1+real_discount_rate),IF($B98=AD$2,AD$6,0))</f>
        <v>0</v>
      </c>
      <c r="AE98" s="180" cm="1">
        <f t="array" aca="1" ref="AE98" ca="1">IF(AND($B98=AE$93,$B98=$B99-1),NPV(real_discount_rate,OFFSET(AE59,,,,COUNTA($C$54:$BB$54)-COUNTA($C$54:AE$54)+1)-OFFSET(AE60,,,,COUNTA($C$54:$BB$54)-COUNTA($C$54:AE$54)+1))*(1+real_discount_rate),IF($B98=AE$2,AE$6,0))</f>
        <v>0</v>
      </c>
      <c r="AF98" s="180" cm="1">
        <f t="array" aca="1" ref="AF98" ca="1">IF(AND($B98=AF$93,$B98=$B99-1),NPV(real_discount_rate,OFFSET(AF59,,,,COUNTA($C$54:$BB$54)-COUNTA($C$54:AF$54)+1)-OFFSET(AF60,,,,COUNTA($C$54:$BB$54)-COUNTA($C$54:AF$54)+1))*(1+real_discount_rate),IF($B98=AF$2,AF$6,0))</f>
        <v>0</v>
      </c>
      <c r="AG98" s="180" cm="1">
        <f t="array" aca="1" ref="AG98" ca="1">IF(AND($B98=AG$93,$B98=$B99-1),NPV(real_discount_rate,OFFSET(AG59,,,,COUNTA($C$54:$BB$54)-COUNTA($C$54:AG$54)+1)-OFFSET(AG60,,,,COUNTA($C$54:$BB$54)-COUNTA($C$54:AG$54)+1))*(1+real_discount_rate),IF($B98=AG$2,AG$6,0))</f>
        <v>0</v>
      </c>
      <c r="AH98" s="649" cm="1">
        <f t="array" aca="1" ref="AH98" ca="1">IF(AND($B98=AH$93,$B98=$B99-1),NPV(real_discount_rate,OFFSET(AH59,,,,COUNTA($C$54:$BB$54)-COUNTA($C$54:AH$54)+1)-OFFSET(AH60,,,,COUNTA($C$54:$BB$54)-COUNTA($C$54:AH$54)+1))*(1+real_discount_rate),IF($B98=AH$2,AH$6,0))</f>
        <v>0</v>
      </c>
      <c r="AI98" s="653"/>
      <c r="AJ98" s="653"/>
      <c r="AK98" s="653"/>
      <c r="AL98" s="653"/>
      <c r="AM98" s="653"/>
      <c r="AN98" s="653"/>
      <c r="AO98" s="653"/>
      <c r="AP98" s="653"/>
      <c r="AQ98" s="653"/>
      <c r="AR98" s="653"/>
      <c r="AS98" s="653"/>
      <c r="AT98" s="653"/>
      <c r="AU98" s="653"/>
      <c r="AV98" s="653"/>
      <c r="AW98" s="653"/>
      <c r="AX98" s="653"/>
      <c r="AY98" s="653"/>
      <c r="AZ98" s="653"/>
      <c r="BA98" s="653"/>
      <c r="BB98" s="182"/>
      <c r="BC98" s="410"/>
    </row>
    <row r="99" spans="2:55" x14ac:dyDescent="0.3">
      <c r="B99" s="28">
        <v>2026</v>
      </c>
      <c r="C99" s="179" cm="1">
        <f t="array" aca="1" ref="C99" ca="1">IF(AND($B99=C$93,$B99=$B100-1),NPV(real_discount_rate,OFFSET(C60,,,,COUNTA($C$54:$BB$54)-COUNTA($C$54:C$54)+1)-OFFSET(C61,,,,COUNTA($C$54:$BB$54)-COUNTA($C$54:C$54)+1))*(1+real_discount_rate),IF($B99=C$2,C$6,0))</f>
        <v>0</v>
      </c>
      <c r="D99" s="180" cm="1">
        <f t="array" aca="1" ref="D99" ca="1">IF(AND($B99=D$93,$B99=$B100-1),NPV(real_discount_rate,OFFSET(D60,,,,COUNTA($C$54:$BB$54)-COUNTA($C$54:D$54)+1)-OFFSET(D61,,,,COUNTA($C$54:$BB$54)-COUNTA($C$54:D$54)+1))*(1+real_discount_rate),IF($B99=D$2,D$6,0))</f>
        <v>0</v>
      </c>
      <c r="E99" s="180" cm="1">
        <f t="array" aca="1" ref="E99" ca="1">IF(AND($B99=E$93,$B99=$B100-1),NPV(real_discount_rate,OFFSET(E60,,,,COUNTA($C$54:$BB$54)-COUNTA($C$54:E$54)+1)-OFFSET(E61,,,,COUNTA($C$54:$BB$54)-COUNTA($C$54:E$54)+1))*(1+real_discount_rate),IF($B99=E$2,E$6,0))</f>
        <v>0</v>
      </c>
      <c r="F99" s="180" cm="1">
        <f t="array" aca="1" ref="F99" ca="1">IF(AND($B99=F$93,$B99=$B100-1),NPV(real_discount_rate,OFFSET(F60,,,,COUNTA($C$54:$BB$54)-COUNTA($C$54:F$54)+1)-OFFSET(F61,,,,COUNTA($C$54:$BB$54)-COUNTA($C$54:F$54)+1))*(1+real_discount_rate),IF($B99=F$2,F$6,0))</f>
        <v>0</v>
      </c>
      <c r="G99" s="180" cm="1">
        <f t="array" aca="1" ref="G99" ca="1">IF(AND($B99=G$93,$B99=$B100-1),NPV(real_discount_rate,OFFSET(G60,,,,COUNTA($C$54:$BB$54)-COUNTA($C$54:G$54)+1)-OFFSET(G61,,,,COUNTA($C$54:$BB$54)-COUNTA($C$54:G$54)+1))*(1+real_discount_rate),IF($B99=G$2,G$6,0))</f>
        <v>0</v>
      </c>
      <c r="H99" s="180" cm="1">
        <f t="array" aca="1" ref="H99" ca="1">IF(AND($B99=H$93,$B99=$B100-1),NPV(real_discount_rate,OFFSET(H60,,,,COUNTA($C$54:$BB$54)-COUNTA($C$54:H$54)+1)-OFFSET(H61,,,,COUNTA($C$54:$BB$54)-COUNTA($C$54:H$54)+1))*(1+real_discount_rate),IF($B99=H$2,H$6,0))</f>
        <v>129.82572471234749</v>
      </c>
      <c r="I99" s="180" cm="1">
        <f t="array" aca="1" ref="I99" ca="1">IF(AND($B99=I$93,$B99=$B100-1),NPV(real_discount_rate,OFFSET(I60,,,,COUNTA($C$54:$BB$54)-COUNTA($C$54:I$54)+1)-OFFSET(I61,,,,COUNTA($C$54:$BB$54)-COUNTA($C$54:I$54)+1))*(1+real_discount_rate),IF($B99=I$2,I$6,0))</f>
        <v>0</v>
      </c>
      <c r="J99" s="180" cm="1">
        <f t="array" aca="1" ref="J99" ca="1">IF(AND($B99=J$93,$B99=$B100-1),NPV(real_discount_rate,OFFSET(J60,,,,COUNTA($C$54:$BB$54)-COUNTA($C$54:J$54)+1)-OFFSET(J61,,,,COUNTA($C$54:$BB$54)-COUNTA($C$54:J$54)+1))*(1+real_discount_rate),IF($B99=J$2,J$6,0))</f>
        <v>0</v>
      </c>
      <c r="K99" s="180" cm="1">
        <f t="array" aca="1" ref="K99" ca="1">IF(AND($B99=K$93,$B99=$B100-1),NPV(real_discount_rate,OFFSET(K60,,,,COUNTA($C$54:$BB$54)-COUNTA($C$54:K$54)+1)-OFFSET(K61,,,,COUNTA($C$54:$BB$54)-COUNTA($C$54:K$54)+1))*(1+real_discount_rate),IF($B99=K$2,K$6,0))</f>
        <v>0</v>
      </c>
      <c r="L99" s="180" cm="1">
        <f t="array" aca="1" ref="L99" ca="1">IF(AND($B99=L$93,$B99=$B100-1),NPV(real_discount_rate,OFFSET(L60,,,,COUNTA($C$54:$BB$54)-COUNTA($C$54:L$54)+1)-OFFSET(L61,,,,COUNTA($C$54:$BB$54)-COUNTA($C$54:L$54)+1))*(1+real_discount_rate),IF($B99=L$2,L$6,0))</f>
        <v>0</v>
      </c>
      <c r="M99" s="180" cm="1">
        <f t="array" aca="1" ref="M99" ca="1">IF(AND($B99=M$93,$B99=$B100-1),NPV(real_discount_rate,OFFSET(M60,,,,COUNTA($C$54:$BB$54)-COUNTA($C$54:M$54)+1)-OFFSET(M61,,,,COUNTA($C$54:$BB$54)-COUNTA($C$54:M$54)+1))*(1+real_discount_rate),IF($B99=M$2,M$6,0))</f>
        <v>0</v>
      </c>
      <c r="N99" s="180" cm="1">
        <f t="array" aca="1" ref="N99" ca="1">IF(AND($B99=N$93,$B99=$B100-1),NPV(real_discount_rate,OFFSET(N60,,,,COUNTA($C$54:$BB$54)-COUNTA($C$54:N$54)+1)-OFFSET(N61,,,,COUNTA($C$54:$BB$54)-COUNTA($C$54:N$54)+1))*(1+real_discount_rate),IF($B99=N$2,N$6,0))</f>
        <v>0</v>
      </c>
      <c r="O99" s="180" cm="1">
        <f t="array" aca="1" ref="O99" ca="1">IF(AND($B99=O$93,$B99=$B100-1),NPV(real_discount_rate,OFFSET(O60,,,,COUNTA($C$54:$BB$54)-COUNTA($C$54:O$54)+1)-OFFSET(O61,,,,COUNTA($C$54:$BB$54)-COUNTA($C$54:O$54)+1))*(1+real_discount_rate),IF($B99=O$2,O$6,0))</f>
        <v>0</v>
      </c>
      <c r="P99" s="180" cm="1">
        <f t="array" aca="1" ref="P99" ca="1">IF(AND($B99=P$93,$B99=$B100-1),NPV(real_discount_rate,OFFSET(P60,,,,COUNTA($C$54:$BB$54)-COUNTA($C$54:P$54)+1)-OFFSET(P61,,,,COUNTA($C$54:$BB$54)-COUNTA($C$54:P$54)+1))*(1+real_discount_rate),IF($B99=P$2,P$6,0))</f>
        <v>0</v>
      </c>
      <c r="Q99" s="180" cm="1">
        <f t="array" aca="1" ref="Q99" ca="1">IF(AND($B99=Q$93,$B99=$B100-1),NPV(real_discount_rate,OFFSET(Q60,,,,COUNTA($C$54:$BB$54)-COUNTA($C$54:Q$54)+1)-OFFSET(Q61,,,,COUNTA($C$54:$BB$54)-COUNTA($C$54:Q$54)+1))*(1+real_discount_rate),IF($B99=Q$2,Q$6,0))</f>
        <v>0</v>
      </c>
      <c r="R99" s="180" cm="1">
        <f t="array" aca="1" ref="R99" ca="1">IF(AND($B99=R$93,$B99=$B100-1),NPV(real_discount_rate,OFFSET(R60,,,,COUNTA($C$54:$BB$54)-COUNTA($C$54:R$54)+1)-OFFSET(R61,,,,COUNTA($C$54:$BB$54)-COUNTA($C$54:R$54)+1))*(1+real_discount_rate),IF($B99=R$2,R$6,0))</f>
        <v>0</v>
      </c>
      <c r="S99" s="180" cm="1">
        <f t="array" aca="1" ref="S99" ca="1">IF(AND($B99=S$93,$B99=$B100-1),NPV(real_discount_rate,OFFSET(S60,,,,COUNTA($C$54:$BB$54)-COUNTA($C$54:S$54)+1)-OFFSET(S61,,,,COUNTA($C$54:$BB$54)-COUNTA($C$54:S$54)+1))*(1+real_discount_rate),IF($B99=S$2,S$6,0))</f>
        <v>0</v>
      </c>
      <c r="T99" s="180" cm="1">
        <f t="array" aca="1" ref="T99" ca="1">IF(AND($B99=T$93,$B99=$B100-1),NPV(real_discount_rate,OFFSET(T60,,,,COUNTA($C$54:$BB$54)-COUNTA($C$54:T$54)+1)-OFFSET(T61,,,,COUNTA($C$54:$BB$54)-COUNTA($C$54:T$54)+1))*(1+real_discount_rate),IF($B99=T$2,T$6,0))</f>
        <v>0</v>
      </c>
      <c r="U99" s="180" cm="1">
        <f t="array" aca="1" ref="U99" ca="1">IF(AND($B99=U$93,$B99=$B100-1),NPV(real_discount_rate,OFFSET(U60,,,,COUNTA($C$54:$BB$54)-COUNTA($C$54:U$54)+1)-OFFSET(U61,,,,COUNTA($C$54:$BB$54)-COUNTA($C$54:U$54)+1))*(1+real_discount_rate),IF($B99=U$2,U$6,0))</f>
        <v>0</v>
      </c>
      <c r="V99" s="180" cm="1">
        <f t="array" aca="1" ref="V99" ca="1">IF(AND($B99=V$93,$B99=$B100-1),NPV(real_discount_rate,OFFSET(V60,,,,COUNTA($C$54:$BB$54)-COUNTA($C$54:V$54)+1)-OFFSET(V61,,,,COUNTA($C$54:$BB$54)-COUNTA($C$54:V$54)+1))*(1+real_discount_rate),IF($B99=V$2,V$6,0))</f>
        <v>0</v>
      </c>
      <c r="W99" s="180" cm="1">
        <f t="array" aca="1" ref="W99" ca="1">IF(AND($B99=W$93,$B99=$B100-1),NPV(real_discount_rate,OFFSET(W60,,,,COUNTA($C$54:$BB$54)-COUNTA($C$54:W$54)+1)-OFFSET(W61,,,,COUNTA($C$54:$BB$54)-COUNTA($C$54:W$54)+1))*(1+real_discount_rate),IF($B99=W$2,W$6,0))</f>
        <v>0</v>
      </c>
      <c r="X99" s="180" cm="1">
        <f t="array" aca="1" ref="X99" ca="1">IF(AND($B99=X$93,$B99=$B100-1),NPV(real_discount_rate,OFFSET(X60,,,,COUNTA($C$54:$BB$54)-COUNTA($C$54:X$54)+1)-OFFSET(X61,,,,COUNTA($C$54:$BB$54)-COUNTA($C$54:X$54)+1))*(1+real_discount_rate),IF($B99=X$2,X$6,0))</f>
        <v>0</v>
      </c>
      <c r="Y99" s="180" cm="1">
        <f t="array" aca="1" ref="Y99" ca="1">IF(AND($B99=Y$93,$B99=$B100-1),NPV(real_discount_rate,OFFSET(Y60,,,,COUNTA($C$54:$BB$54)-COUNTA($C$54:Y$54)+1)-OFFSET(Y61,,,,COUNTA($C$54:$BB$54)-COUNTA($C$54:Y$54)+1))*(1+real_discount_rate),IF($B99=Y$2,Y$6,0))</f>
        <v>0</v>
      </c>
      <c r="Z99" s="180" cm="1">
        <f t="array" aca="1" ref="Z99" ca="1">IF(AND($B99=Z$93,$B99=$B100-1),NPV(real_discount_rate,OFFSET(Z60,,,,COUNTA($C$54:$BB$54)-COUNTA($C$54:Z$54)+1)-OFFSET(Z61,,,,COUNTA($C$54:$BB$54)-COUNTA($C$54:Z$54)+1))*(1+real_discount_rate),IF($B99=Z$2,Z$6,0))</f>
        <v>0</v>
      </c>
      <c r="AA99" s="180" cm="1">
        <f t="array" aca="1" ref="AA99" ca="1">IF(AND($B99=AA$93,$B99=$B100-1),NPV(real_discount_rate,OFFSET(AA60,,,,COUNTA($C$54:$BB$54)-COUNTA($C$54:AA$54)+1)-OFFSET(AA61,,,,COUNTA($C$54:$BB$54)-COUNTA($C$54:AA$54)+1))*(1+real_discount_rate),IF($B99=AA$2,AA$6,0))</f>
        <v>0</v>
      </c>
      <c r="AB99" s="180" cm="1">
        <f t="array" aca="1" ref="AB99" ca="1">IF(AND($B99=AB$93,$B99=$B100-1),NPV(real_discount_rate,OFFSET(AB60,,,,COUNTA($C$54:$BB$54)-COUNTA($C$54:AB$54)+1)-OFFSET(AB61,,,,COUNTA($C$54:$BB$54)-COUNTA($C$54:AB$54)+1))*(1+real_discount_rate),IF($B99=AB$2,AB$6,0))</f>
        <v>0</v>
      </c>
      <c r="AC99" s="180" cm="1">
        <f t="array" aca="1" ref="AC99" ca="1">IF(AND($B99=AC$93,$B99=$B100-1),NPV(real_discount_rate,OFFSET(AC60,,,,COUNTA($C$54:$BB$54)-COUNTA($C$54:AC$54)+1)-OFFSET(AC61,,,,COUNTA($C$54:$BB$54)-COUNTA($C$54:AC$54)+1))*(1+real_discount_rate),IF($B99=AC$2,AC$6,0))</f>
        <v>0</v>
      </c>
      <c r="AD99" s="180" cm="1">
        <f t="array" aca="1" ref="AD99" ca="1">IF(AND($B99=AD$93,$B99=$B100-1),NPV(real_discount_rate,OFFSET(AD60,,,,COUNTA($C$54:$BB$54)-COUNTA($C$54:AD$54)+1)-OFFSET(AD61,,,,COUNTA($C$54:$BB$54)-COUNTA($C$54:AD$54)+1))*(1+real_discount_rate),IF($B99=AD$2,AD$6,0))</f>
        <v>0</v>
      </c>
      <c r="AE99" s="180" cm="1">
        <f t="array" aca="1" ref="AE99" ca="1">IF(AND($B99=AE$93,$B99=$B100-1),NPV(real_discount_rate,OFFSET(AE60,,,,COUNTA($C$54:$BB$54)-COUNTA($C$54:AE$54)+1)-OFFSET(AE61,,,,COUNTA($C$54:$BB$54)-COUNTA($C$54:AE$54)+1))*(1+real_discount_rate),IF($B99=AE$2,AE$6,0))</f>
        <v>0</v>
      </c>
      <c r="AF99" s="180" cm="1">
        <f t="array" aca="1" ref="AF99" ca="1">IF(AND($B99=AF$93,$B99=$B100-1),NPV(real_discount_rate,OFFSET(AF60,,,,COUNTA($C$54:$BB$54)-COUNTA($C$54:AF$54)+1)-OFFSET(AF61,,,,COUNTA($C$54:$BB$54)-COUNTA($C$54:AF$54)+1))*(1+real_discount_rate),IF($B99=AF$2,AF$6,0))</f>
        <v>0</v>
      </c>
      <c r="AG99" s="180" cm="1">
        <f t="array" aca="1" ref="AG99" ca="1">IF(AND($B99=AG$93,$B99=$B100-1),NPV(real_discount_rate,OFFSET(AG60,,,,COUNTA($C$54:$BB$54)-COUNTA($C$54:AG$54)+1)-OFFSET(AG61,,,,COUNTA($C$54:$BB$54)-COUNTA($C$54:AG$54)+1))*(1+real_discount_rate),IF($B99=AG$2,AG$6,0))</f>
        <v>0</v>
      </c>
      <c r="AH99" s="649" cm="1">
        <f t="array" aca="1" ref="AH99" ca="1">IF(AND($B99=AH$93,$B99=$B100-1),NPV(real_discount_rate,OFFSET(AH60,,,,COUNTA($C$54:$BB$54)-COUNTA($C$54:AH$54)+1)-OFFSET(AH61,,,,COUNTA($C$54:$BB$54)-COUNTA($C$54:AH$54)+1))*(1+real_discount_rate),IF($B99=AH$2,AH$6,0))</f>
        <v>0</v>
      </c>
      <c r="AI99" s="653"/>
      <c r="AJ99" s="653"/>
      <c r="AK99" s="653"/>
      <c r="AL99" s="653"/>
      <c r="AM99" s="653"/>
      <c r="AN99" s="653"/>
      <c r="AO99" s="653"/>
      <c r="AP99" s="653"/>
      <c r="AQ99" s="653"/>
      <c r="AR99" s="653"/>
      <c r="AS99" s="653"/>
      <c r="AT99" s="653"/>
      <c r="AU99" s="653"/>
      <c r="AV99" s="653"/>
      <c r="AW99" s="653"/>
      <c r="AX99" s="653"/>
      <c r="AY99" s="653"/>
      <c r="AZ99" s="653"/>
      <c r="BA99" s="653"/>
      <c r="BB99" s="182"/>
      <c r="BC99" s="410"/>
    </row>
    <row r="100" spans="2:55" x14ac:dyDescent="0.3">
      <c r="B100" s="28">
        <v>2027</v>
      </c>
      <c r="C100" s="179" cm="1">
        <f t="array" aca="1" ref="C100" ca="1">IF(AND($B100=C$93,$B100=$B101-1),NPV(real_discount_rate,OFFSET(C61,,,,COUNTA($C$54:$BB$54)-COUNTA($C$54:C$54)+1)-OFFSET(C62,,,,COUNTA($C$54:$BB$54)-COUNTA($C$54:C$54)+1))*(1+real_discount_rate),IF($B100=C$2,C$6,0))</f>
        <v>0</v>
      </c>
      <c r="D100" s="180" cm="1">
        <f t="array" aca="1" ref="D100" ca="1">IF(AND($B100=D$93,$B100=$B101-1),NPV(real_discount_rate,OFFSET(D61,,,,COUNTA($C$54:$BB$54)-COUNTA($C$54:D$54)+1)-OFFSET(D62,,,,COUNTA($C$54:$BB$54)-COUNTA($C$54:D$54)+1))*(1+real_discount_rate),IF($B100=D$2,D$6,0))</f>
        <v>0</v>
      </c>
      <c r="E100" s="180" cm="1">
        <f t="array" aca="1" ref="E100" ca="1">IF(AND($B100=E$93,$B100=$B101-1),NPV(real_discount_rate,OFFSET(E61,,,,COUNTA($C$54:$BB$54)-COUNTA($C$54:E$54)+1)-OFFSET(E62,,,,COUNTA($C$54:$BB$54)-COUNTA($C$54:E$54)+1))*(1+real_discount_rate),IF($B100=E$2,E$6,0))</f>
        <v>0</v>
      </c>
      <c r="F100" s="180" cm="1">
        <f t="array" aca="1" ref="F100" ca="1">IF(AND($B100=F$93,$B100=$B101-1),NPV(real_discount_rate,OFFSET(F61,,,,COUNTA($C$54:$BB$54)-COUNTA($C$54:F$54)+1)-OFFSET(F62,,,,COUNTA($C$54:$BB$54)-COUNTA($C$54:F$54)+1))*(1+real_discount_rate),IF($B100=F$2,F$6,0))</f>
        <v>0</v>
      </c>
      <c r="G100" s="180" cm="1">
        <f t="array" aca="1" ref="G100" ca="1">IF(AND($B100=G$93,$B100=$B101-1),NPV(real_discount_rate,OFFSET(G61,,,,COUNTA($C$54:$BB$54)-COUNTA($C$54:G$54)+1)-OFFSET(G62,,,,COUNTA($C$54:$BB$54)-COUNTA($C$54:G$54)+1))*(1+real_discount_rate),IF($B100=G$2,G$6,0))</f>
        <v>0</v>
      </c>
      <c r="H100" s="180" cm="1">
        <f t="array" aca="1" ref="H100" ca="1">IF(AND($B100=H$93,$B100=$B101-1),NPV(real_discount_rate,OFFSET(H61,,,,COUNTA($C$54:$BB$54)-COUNTA($C$54:H$54)+1)-OFFSET(H62,,,,COUNTA($C$54:$BB$54)-COUNTA($C$54:H$54)+1))*(1+real_discount_rate),IF($B100=H$2,H$6,0))</f>
        <v>0</v>
      </c>
      <c r="I100" s="180" cm="1">
        <f t="array" aca="1" ref="I100" ca="1">IF(AND($B100=I$93,$B100=$B101-1),NPV(real_discount_rate,OFFSET(I61,,,,COUNTA($C$54:$BB$54)-COUNTA($C$54:I$54)+1)-OFFSET(I62,,,,COUNTA($C$54:$BB$54)-COUNTA($C$54:I$54)+1))*(1+real_discount_rate),IF($B100=I$2,I$6,0))</f>
        <v>129.26662293819297</v>
      </c>
      <c r="J100" s="180" cm="1">
        <f t="array" aca="1" ref="J100" ca="1">IF(AND($B100=J$93,$B100=$B101-1),NPV(real_discount_rate,OFFSET(J61,,,,COUNTA($C$54:$BB$54)-COUNTA($C$54:J$54)+1)-OFFSET(J62,,,,COUNTA($C$54:$BB$54)-COUNTA($C$54:J$54)+1))*(1+real_discount_rate),IF($B100=J$2,J$6,0))</f>
        <v>0</v>
      </c>
      <c r="K100" s="180" cm="1">
        <f t="array" aca="1" ref="K100" ca="1">IF(AND($B100=K$93,$B100=$B101-1),NPV(real_discount_rate,OFFSET(K61,,,,COUNTA($C$54:$BB$54)-COUNTA($C$54:K$54)+1)-OFFSET(K62,,,,COUNTA($C$54:$BB$54)-COUNTA($C$54:K$54)+1))*(1+real_discount_rate),IF($B100=K$2,K$6,0))</f>
        <v>0</v>
      </c>
      <c r="L100" s="180" cm="1">
        <f t="array" aca="1" ref="L100" ca="1">IF(AND($B100=L$93,$B100=$B101-1),NPV(real_discount_rate,OFFSET(L61,,,,COUNTA($C$54:$BB$54)-COUNTA($C$54:L$54)+1)-OFFSET(L62,,,,COUNTA($C$54:$BB$54)-COUNTA($C$54:L$54)+1))*(1+real_discount_rate),IF($B100=L$2,L$6,0))</f>
        <v>0</v>
      </c>
      <c r="M100" s="180" cm="1">
        <f t="array" aca="1" ref="M100" ca="1">IF(AND($B100=M$93,$B100=$B101-1),NPV(real_discount_rate,OFFSET(M61,,,,COUNTA($C$54:$BB$54)-COUNTA($C$54:M$54)+1)-OFFSET(M62,,,,COUNTA($C$54:$BB$54)-COUNTA($C$54:M$54)+1))*(1+real_discount_rate),IF($B100=M$2,M$6,0))</f>
        <v>0</v>
      </c>
      <c r="N100" s="180" cm="1">
        <f t="array" aca="1" ref="N100" ca="1">IF(AND($B100=N$93,$B100=$B101-1),NPV(real_discount_rate,OFFSET(N61,,,,COUNTA($C$54:$BB$54)-COUNTA($C$54:N$54)+1)-OFFSET(N62,,,,COUNTA($C$54:$BB$54)-COUNTA($C$54:N$54)+1))*(1+real_discount_rate),IF($B100=N$2,N$6,0))</f>
        <v>0</v>
      </c>
      <c r="O100" s="180" cm="1">
        <f t="array" aca="1" ref="O100" ca="1">IF(AND($B100=O$93,$B100=$B101-1),NPV(real_discount_rate,OFFSET(O61,,,,COUNTA($C$54:$BB$54)-COUNTA($C$54:O$54)+1)-OFFSET(O62,,,,COUNTA($C$54:$BB$54)-COUNTA($C$54:O$54)+1))*(1+real_discount_rate),IF($B100=O$2,O$6,0))</f>
        <v>0</v>
      </c>
      <c r="P100" s="180" cm="1">
        <f t="array" aca="1" ref="P100" ca="1">IF(AND($B100=P$93,$B100=$B101-1),NPV(real_discount_rate,OFFSET(P61,,,,COUNTA($C$54:$BB$54)-COUNTA($C$54:P$54)+1)-OFFSET(P62,,,,COUNTA($C$54:$BB$54)-COUNTA($C$54:P$54)+1))*(1+real_discount_rate),IF($B100=P$2,P$6,0))</f>
        <v>0</v>
      </c>
      <c r="Q100" s="180" cm="1">
        <f t="array" aca="1" ref="Q100" ca="1">IF(AND($B100=Q$93,$B100=$B101-1),NPV(real_discount_rate,OFFSET(Q61,,,,COUNTA($C$54:$BB$54)-COUNTA($C$54:Q$54)+1)-OFFSET(Q62,,,,COUNTA($C$54:$BB$54)-COUNTA($C$54:Q$54)+1))*(1+real_discount_rate),IF($B100=Q$2,Q$6,0))</f>
        <v>0</v>
      </c>
      <c r="R100" s="180" cm="1">
        <f t="array" aca="1" ref="R100" ca="1">IF(AND($B100=R$93,$B100=$B101-1),NPV(real_discount_rate,OFFSET(R61,,,,COUNTA($C$54:$BB$54)-COUNTA($C$54:R$54)+1)-OFFSET(R62,,,,COUNTA($C$54:$BB$54)-COUNTA($C$54:R$54)+1))*(1+real_discount_rate),IF($B100=R$2,R$6,0))</f>
        <v>0</v>
      </c>
      <c r="S100" s="180" cm="1">
        <f t="array" aca="1" ref="S100" ca="1">IF(AND($B100=S$93,$B100=$B101-1),NPV(real_discount_rate,OFFSET(S61,,,,COUNTA($C$54:$BB$54)-COUNTA($C$54:S$54)+1)-OFFSET(S62,,,,COUNTA($C$54:$BB$54)-COUNTA($C$54:S$54)+1))*(1+real_discount_rate),IF($B100=S$2,S$6,0))</f>
        <v>0</v>
      </c>
      <c r="T100" s="180" cm="1">
        <f t="array" aca="1" ref="T100" ca="1">IF(AND($B100=T$93,$B100=$B101-1),NPV(real_discount_rate,OFFSET(T61,,,,COUNTA($C$54:$BB$54)-COUNTA($C$54:T$54)+1)-OFFSET(T62,,,,COUNTA($C$54:$BB$54)-COUNTA($C$54:T$54)+1))*(1+real_discount_rate),IF($B100=T$2,T$6,0))</f>
        <v>0</v>
      </c>
      <c r="U100" s="180" cm="1">
        <f t="array" aca="1" ref="U100" ca="1">IF(AND($B100=U$93,$B100=$B101-1),NPV(real_discount_rate,OFFSET(U61,,,,COUNTA($C$54:$BB$54)-COUNTA($C$54:U$54)+1)-OFFSET(U62,,,,COUNTA($C$54:$BB$54)-COUNTA($C$54:U$54)+1))*(1+real_discount_rate),IF($B100=U$2,U$6,0))</f>
        <v>0</v>
      </c>
      <c r="V100" s="180" cm="1">
        <f t="array" aca="1" ref="V100" ca="1">IF(AND($B100=V$93,$B100=$B101-1),NPV(real_discount_rate,OFFSET(V61,,,,COUNTA($C$54:$BB$54)-COUNTA($C$54:V$54)+1)-OFFSET(V62,,,,COUNTA($C$54:$BB$54)-COUNTA($C$54:V$54)+1))*(1+real_discount_rate),IF($B100=V$2,V$6,0))</f>
        <v>0</v>
      </c>
      <c r="W100" s="180" cm="1">
        <f t="array" aca="1" ref="W100" ca="1">IF(AND($B100=W$93,$B100=$B101-1),NPV(real_discount_rate,OFFSET(W61,,,,COUNTA($C$54:$BB$54)-COUNTA($C$54:W$54)+1)-OFFSET(W62,,,,COUNTA($C$54:$BB$54)-COUNTA($C$54:W$54)+1))*(1+real_discount_rate),IF($B100=W$2,W$6,0))</f>
        <v>0</v>
      </c>
      <c r="X100" s="180" cm="1">
        <f t="array" aca="1" ref="X100" ca="1">IF(AND($B100=X$93,$B100=$B101-1),NPV(real_discount_rate,OFFSET(X61,,,,COUNTA($C$54:$BB$54)-COUNTA($C$54:X$54)+1)-OFFSET(X62,,,,COUNTA($C$54:$BB$54)-COUNTA($C$54:X$54)+1))*(1+real_discount_rate),IF($B100=X$2,X$6,0))</f>
        <v>0</v>
      </c>
      <c r="Y100" s="180" cm="1">
        <f t="array" aca="1" ref="Y100" ca="1">IF(AND($B100=Y$93,$B100=$B101-1),NPV(real_discount_rate,OFFSET(Y61,,,,COUNTA($C$54:$BB$54)-COUNTA($C$54:Y$54)+1)-OFFSET(Y62,,,,COUNTA($C$54:$BB$54)-COUNTA($C$54:Y$54)+1))*(1+real_discount_rate),IF($B100=Y$2,Y$6,0))</f>
        <v>0</v>
      </c>
      <c r="Z100" s="180" cm="1">
        <f t="array" aca="1" ref="Z100" ca="1">IF(AND($B100=Z$93,$B100=$B101-1),NPV(real_discount_rate,OFFSET(Z61,,,,COUNTA($C$54:$BB$54)-COUNTA($C$54:Z$54)+1)-OFFSET(Z62,,,,COUNTA($C$54:$BB$54)-COUNTA($C$54:Z$54)+1))*(1+real_discount_rate),IF($B100=Z$2,Z$6,0))</f>
        <v>0</v>
      </c>
      <c r="AA100" s="180" cm="1">
        <f t="array" aca="1" ref="AA100" ca="1">IF(AND($B100=AA$93,$B100=$B101-1),NPV(real_discount_rate,OFFSET(AA61,,,,COUNTA($C$54:$BB$54)-COUNTA($C$54:AA$54)+1)-OFFSET(AA62,,,,COUNTA($C$54:$BB$54)-COUNTA($C$54:AA$54)+1))*(1+real_discount_rate),IF($B100=AA$2,AA$6,0))</f>
        <v>0</v>
      </c>
      <c r="AB100" s="180" cm="1">
        <f t="array" aca="1" ref="AB100" ca="1">IF(AND($B100=AB$93,$B100=$B101-1),NPV(real_discount_rate,OFFSET(AB61,,,,COUNTA($C$54:$BB$54)-COUNTA($C$54:AB$54)+1)-OFFSET(AB62,,,,COUNTA($C$54:$BB$54)-COUNTA($C$54:AB$54)+1))*(1+real_discount_rate),IF($B100=AB$2,AB$6,0))</f>
        <v>0</v>
      </c>
      <c r="AC100" s="180" cm="1">
        <f t="array" aca="1" ref="AC100" ca="1">IF(AND($B100=AC$93,$B100=$B101-1),NPV(real_discount_rate,OFFSET(AC61,,,,COUNTA($C$54:$BB$54)-COUNTA($C$54:AC$54)+1)-OFFSET(AC62,,,,COUNTA($C$54:$BB$54)-COUNTA($C$54:AC$54)+1))*(1+real_discount_rate),IF($B100=AC$2,AC$6,0))</f>
        <v>0</v>
      </c>
      <c r="AD100" s="180" cm="1">
        <f t="array" aca="1" ref="AD100" ca="1">IF(AND($B100=AD$93,$B100=$B101-1),NPV(real_discount_rate,OFFSET(AD61,,,,COUNTA($C$54:$BB$54)-COUNTA($C$54:AD$54)+1)-OFFSET(AD62,,,,COUNTA($C$54:$BB$54)-COUNTA($C$54:AD$54)+1))*(1+real_discount_rate),IF($B100=AD$2,AD$6,0))</f>
        <v>0</v>
      </c>
      <c r="AE100" s="180" cm="1">
        <f t="array" aca="1" ref="AE100" ca="1">IF(AND($B100=AE$93,$B100=$B101-1),NPV(real_discount_rate,OFFSET(AE61,,,,COUNTA($C$54:$BB$54)-COUNTA($C$54:AE$54)+1)-OFFSET(AE62,,,,COUNTA($C$54:$BB$54)-COUNTA($C$54:AE$54)+1))*(1+real_discount_rate),IF($B100=AE$2,AE$6,0))</f>
        <v>0</v>
      </c>
      <c r="AF100" s="180" cm="1">
        <f t="array" aca="1" ref="AF100" ca="1">IF(AND($B100=AF$93,$B100=$B101-1),NPV(real_discount_rate,OFFSET(AF61,,,,COUNTA($C$54:$BB$54)-COUNTA($C$54:AF$54)+1)-OFFSET(AF62,,,,COUNTA($C$54:$BB$54)-COUNTA($C$54:AF$54)+1))*(1+real_discount_rate),IF($B100=AF$2,AF$6,0))</f>
        <v>0</v>
      </c>
      <c r="AG100" s="180" cm="1">
        <f t="array" aca="1" ref="AG100" ca="1">IF(AND($B100=AG$93,$B100=$B101-1),NPV(real_discount_rate,OFFSET(AG61,,,,COUNTA($C$54:$BB$54)-COUNTA($C$54:AG$54)+1)-OFFSET(AG62,,,,COUNTA($C$54:$BB$54)-COUNTA($C$54:AG$54)+1))*(1+real_discount_rate),IF($B100=AG$2,AG$6,0))</f>
        <v>0</v>
      </c>
      <c r="AH100" s="649" cm="1">
        <f t="array" aca="1" ref="AH100" ca="1">IF(AND($B100=AH$93,$B100=$B101-1),NPV(real_discount_rate,OFFSET(AH61,,,,COUNTA($C$54:$BB$54)-COUNTA($C$54:AH$54)+1)-OFFSET(AH62,,,,COUNTA($C$54:$BB$54)-COUNTA($C$54:AH$54)+1))*(1+real_discount_rate),IF($B100=AH$2,AH$6,0))</f>
        <v>0</v>
      </c>
      <c r="AI100" s="653"/>
      <c r="AJ100" s="653"/>
      <c r="AK100" s="653"/>
      <c r="AL100" s="653"/>
      <c r="AM100" s="653"/>
      <c r="AN100" s="653"/>
      <c r="AO100" s="653"/>
      <c r="AP100" s="653"/>
      <c r="AQ100" s="653"/>
      <c r="AR100" s="653"/>
      <c r="AS100" s="653"/>
      <c r="AT100" s="653"/>
      <c r="AU100" s="653"/>
      <c r="AV100" s="653"/>
      <c r="AW100" s="653"/>
      <c r="AX100" s="653"/>
      <c r="AY100" s="653"/>
      <c r="AZ100" s="653"/>
      <c r="BA100" s="653"/>
      <c r="BB100" s="182"/>
      <c r="BC100" s="410"/>
    </row>
    <row r="101" spans="2:55" x14ac:dyDescent="0.3">
      <c r="B101" s="28">
        <v>2028</v>
      </c>
      <c r="C101" s="179" cm="1">
        <f t="array" aca="1" ref="C101" ca="1">IF(AND($B101=C$93,$B101=$B102-1),NPV(real_discount_rate,OFFSET(C62,,,,COUNTA($C$54:$BB$54)-COUNTA($C$54:C$54)+1)-OFFSET(C63,,,,COUNTA($C$54:$BB$54)-COUNTA($C$54:C$54)+1))*(1+real_discount_rate),IF($B101=C$2,C$6,0))</f>
        <v>0</v>
      </c>
      <c r="D101" s="180" cm="1">
        <f t="array" aca="1" ref="D101" ca="1">IF(AND($B101=D$93,$B101=$B102-1),NPV(real_discount_rate,OFFSET(D62,,,,COUNTA($C$54:$BB$54)-COUNTA($C$54:D$54)+1)-OFFSET(D63,,,,COUNTA($C$54:$BB$54)-COUNTA($C$54:D$54)+1))*(1+real_discount_rate),IF($B101=D$2,D$6,0))</f>
        <v>0</v>
      </c>
      <c r="E101" s="180" cm="1">
        <f t="array" aca="1" ref="E101" ca="1">IF(AND($B101=E$93,$B101=$B102-1),NPV(real_discount_rate,OFFSET(E62,,,,COUNTA($C$54:$BB$54)-COUNTA($C$54:E$54)+1)-OFFSET(E63,,,,COUNTA($C$54:$BB$54)-COUNTA($C$54:E$54)+1))*(1+real_discount_rate),IF($B101=E$2,E$6,0))</f>
        <v>0</v>
      </c>
      <c r="F101" s="180" cm="1">
        <f t="array" aca="1" ref="F101" ca="1">IF(AND($B101=F$93,$B101=$B102-1),NPV(real_discount_rate,OFFSET(F62,,,,COUNTA($C$54:$BB$54)-COUNTA($C$54:F$54)+1)-OFFSET(F63,,,,COUNTA($C$54:$BB$54)-COUNTA($C$54:F$54)+1))*(1+real_discount_rate),IF($B101=F$2,F$6,0))</f>
        <v>0</v>
      </c>
      <c r="G101" s="180" cm="1">
        <f t="array" aca="1" ref="G101" ca="1">IF(AND($B101=G$93,$B101=$B102-1),NPV(real_discount_rate,OFFSET(G62,,,,COUNTA($C$54:$BB$54)-COUNTA($C$54:G$54)+1)-OFFSET(G63,,,,COUNTA($C$54:$BB$54)-COUNTA($C$54:G$54)+1))*(1+real_discount_rate),IF($B101=G$2,G$6,0))</f>
        <v>0</v>
      </c>
      <c r="H101" s="180" cm="1">
        <f t="array" aca="1" ref="H101" ca="1">IF(AND($B101=H$93,$B101=$B102-1),NPV(real_discount_rate,OFFSET(H62,,,,COUNTA($C$54:$BB$54)-COUNTA($C$54:H$54)+1)-OFFSET(H63,,,,COUNTA($C$54:$BB$54)-COUNTA($C$54:H$54)+1))*(1+real_discount_rate),IF($B101=H$2,H$6,0))</f>
        <v>0</v>
      </c>
      <c r="I101" s="180" cm="1">
        <f t="array" aca="1" ref="I101" ca="1">IF(AND($B101=I$93,$B101=$B102-1),NPV(real_discount_rate,OFFSET(I62,,,,COUNTA($C$54:$BB$54)-COUNTA($C$54:I$54)+1)-OFFSET(I63,,,,COUNTA($C$54:$BB$54)-COUNTA($C$54:I$54)+1))*(1+real_discount_rate),IF($B101=I$2,I$6,0))</f>
        <v>0</v>
      </c>
      <c r="J101" s="180" cm="1">
        <f t="array" aca="1" ref="J101" ca="1">IF(AND($B101=J$93,$B101=$B102-1),NPV(real_discount_rate,OFFSET(J62,,,,COUNTA($C$54:$BB$54)-COUNTA($C$54:J$54)+1)-OFFSET(J63,,,,COUNTA($C$54:$BB$54)-COUNTA($C$54:J$54)+1))*(1+real_discount_rate),IF($B101=J$2,J$6,0))</f>
        <v>125.58907994662788</v>
      </c>
      <c r="K101" s="180" cm="1">
        <f t="array" aca="1" ref="K101" ca="1">IF(AND($B101=K$93,$B101=$B102-1),NPV(real_discount_rate,OFFSET(K62,,,,COUNTA($C$54:$BB$54)-COUNTA($C$54:K$54)+1)-OFFSET(K63,,,,COUNTA($C$54:$BB$54)-COUNTA($C$54:K$54)+1))*(1+real_discount_rate),IF($B101=K$2,K$6,0))</f>
        <v>0</v>
      </c>
      <c r="L101" s="180" cm="1">
        <f t="array" aca="1" ref="L101" ca="1">IF(AND($B101=L$93,$B101=$B102-1),NPV(real_discount_rate,OFFSET(L62,,,,COUNTA($C$54:$BB$54)-COUNTA($C$54:L$54)+1)-OFFSET(L63,,,,COUNTA($C$54:$BB$54)-COUNTA($C$54:L$54)+1))*(1+real_discount_rate),IF($B101=L$2,L$6,0))</f>
        <v>0</v>
      </c>
      <c r="M101" s="180" cm="1">
        <f t="array" aca="1" ref="M101" ca="1">IF(AND($B101=M$93,$B101=$B102-1),NPV(real_discount_rate,OFFSET(M62,,,,COUNTA($C$54:$BB$54)-COUNTA($C$54:M$54)+1)-OFFSET(M63,,,,COUNTA($C$54:$BB$54)-COUNTA($C$54:M$54)+1))*(1+real_discount_rate),IF($B101=M$2,M$6,0))</f>
        <v>0</v>
      </c>
      <c r="N101" s="180" cm="1">
        <f t="array" aca="1" ref="N101" ca="1">IF(AND($B101=N$93,$B101=$B102-1),NPV(real_discount_rate,OFFSET(N62,,,,COUNTA($C$54:$BB$54)-COUNTA($C$54:N$54)+1)-OFFSET(N63,,,,COUNTA($C$54:$BB$54)-COUNTA($C$54:N$54)+1))*(1+real_discount_rate),IF($B101=N$2,N$6,0))</f>
        <v>0</v>
      </c>
      <c r="O101" s="180" cm="1">
        <f t="array" aca="1" ref="O101" ca="1">IF(AND($B101=O$93,$B101=$B102-1),NPV(real_discount_rate,OFFSET(O62,,,,COUNTA($C$54:$BB$54)-COUNTA($C$54:O$54)+1)-OFFSET(O63,,,,COUNTA($C$54:$BB$54)-COUNTA($C$54:O$54)+1))*(1+real_discount_rate),IF($B101=O$2,O$6,0))</f>
        <v>0</v>
      </c>
      <c r="P101" s="180" cm="1">
        <f t="array" aca="1" ref="P101" ca="1">IF(AND($B101=P$93,$B101=$B102-1),NPV(real_discount_rate,OFFSET(P62,,,,COUNTA($C$54:$BB$54)-COUNTA($C$54:P$54)+1)-OFFSET(P63,,,,COUNTA($C$54:$BB$54)-COUNTA($C$54:P$54)+1))*(1+real_discount_rate),IF($B101=P$2,P$6,0))</f>
        <v>0</v>
      </c>
      <c r="Q101" s="180" cm="1">
        <f t="array" aca="1" ref="Q101" ca="1">IF(AND($B101=Q$93,$B101=$B102-1),NPV(real_discount_rate,OFFSET(Q62,,,,COUNTA($C$54:$BB$54)-COUNTA($C$54:Q$54)+1)-OFFSET(Q63,,,,COUNTA($C$54:$BB$54)-COUNTA($C$54:Q$54)+1))*(1+real_discount_rate),IF($B101=Q$2,Q$6,0))</f>
        <v>0</v>
      </c>
      <c r="R101" s="180" cm="1">
        <f t="array" aca="1" ref="R101" ca="1">IF(AND($B101=R$93,$B101=$B102-1),NPV(real_discount_rate,OFFSET(R62,,,,COUNTA($C$54:$BB$54)-COUNTA($C$54:R$54)+1)-OFFSET(R63,,,,COUNTA($C$54:$BB$54)-COUNTA($C$54:R$54)+1))*(1+real_discount_rate),IF($B101=R$2,R$6,0))</f>
        <v>0</v>
      </c>
      <c r="S101" s="180" cm="1">
        <f t="array" aca="1" ref="S101" ca="1">IF(AND($B101=S$93,$B101=$B102-1),NPV(real_discount_rate,OFFSET(S62,,,,COUNTA($C$54:$BB$54)-COUNTA($C$54:S$54)+1)-OFFSET(S63,,,,COUNTA($C$54:$BB$54)-COUNTA($C$54:S$54)+1))*(1+real_discount_rate),IF($B101=S$2,S$6,0))</f>
        <v>0</v>
      </c>
      <c r="T101" s="180" cm="1">
        <f t="array" aca="1" ref="T101" ca="1">IF(AND($B101=T$93,$B101=$B102-1),NPV(real_discount_rate,OFFSET(T62,,,,COUNTA($C$54:$BB$54)-COUNTA($C$54:T$54)+1)-OFFSET(T63,,,,COUNTA($C$54:$BB$54)-COUNTA($C$54:T$54)+1))*(1+real_discount_rate),IF($B101=T$2,T$6,0))</f>
        <v>0</v>
      </c>
      <c r="U101" s="180" cm="1">
        <f t="array" aca="1" ref="U101" ca="1">IF(AND($B101=U$93,$B101=$B102-1),NPV(real_discount_rate,OFFSET(U62,,,,COUNTA($C$54:$BB$54)-COUNTA($C$54:U$54)+1)-OFFSET(U63,,,,COUNTA($C$54:$BB$54)-COUNTA($C$54:U$54)+1))*(1+real_discount_rate),IF($B101=U$2,U$6,0))</f>
        <v>0</v>
      </c>
      <c r="V101" s="180" cm="1">
        <f t="array" aca="1" ref="V101" ca="1">IF(AND($B101=V$93,$B101=$B102-1),NPV(real_discount_rate,OFFSET(V62,,,,COUNTA($C$54:$BB$54)-COUNTA($C$54:V$54)+1)-OFFSET(V63,,,,COUNTA($C$54:$BB$54)-COUNTA($C$54:V$54)+1))*(1+real_discount_rate),IF($B101=V$2,V$6,0))</f>
        <v>0</v>
      </c>
      <c r="W101" s="180" cm="1">
        <f t="array" aca="1" ref="W101" ca="1">IF(AND($B101=W$93,$B101=$B102-1),NPV(real_discount_rate,OFFSET(W62,,,,COUNTA($C$54:$BB$54)-COUNTA($C$54:W$54)+1)-OFFSET(W63,,,,COUNTA($C$54:$BB$54)-COUNTA($C$54:W$54)+1))*(1+real_discount_rate),IF($B101=W$2,W$6,0))</f>
        <v>0</v>
      </c>
      <c r="X101" s="180" cm="1">
        <f t="array" aca="1" ref="X101" ca="1">IF(AND($B101=X$93,$B101=$B102-1),NPV(real_discount_rate,OFFSET(X62,,,,COUNTA($C$54:$BB$54)-COUNTA($C$54:X$54)+1)-OFFSET(X63,,,,COUNTA($C$54:$BB$54)-COUNTA($C$54:X$54)+1))*(1+real_discount_rate),IF($B101=X$2,X$6,0))</f>
        <v>0</v>
      </c>
      <c r="Y101" s="180" cm="1">
        <f t="array" aca="1" ref="Y101" ca="1">IF(AND($B101=Y$93,$B101=$B102-1),NPV(real_discount_rate,OFFSET(Y62,,,,COUNTA($C$54:$BB$54)-COUNTA($C$54:Y$54)+1)-OFFSET(Y63,,,,COUNTA($C$54:$BB$54)-COUNTA($C$54:Y$54)+1))*(1+real_discount_rate),IF($B101=Y$2,Y$6,0))</f>
        <v>0</v>
      </c>
      <c r="Z101" s="180" cm="1">
        <f t="array" aca="1" ref="Z101" ca="1">IF(AND($B101=Z$93,$B101=$B102-1),NPV(real_discount_rate,OFFSET(Z62,,,,COUNTA($C$54:$BB$54)-COUNTA($C$54:Z$54)+1)-OFFSET(Z63,,,,COUNTA($C$54:$BB$54)-COUNTA($C$54:Z$54)+1))*(1+real_discount_rate),IF($B101=Z$2,Z$6,0))</f>
        <v>0</v>
      </c>
      <c r="AA101" s="180" cm="1">
        <f t="array" aca="1" ref="AA101" ca="1">IF(AND($B101=AA$93,$B101=$B102-1),NPV(real_discount_rate,OFFSET(AA62,,,,COUNTA($C$54:$BB$54)-COUNTA($C$54:AA$54)+1)-OFFSET(AA63,,,,COUNTA($C$54:$BB$54)-COUNTA($C$54:AA$54)+1))*(1+real_discount_rate),IF($B101=AA$2,AA$6,0))</f>
        <v>0</v>
      </c>
      <c r="AB101" s="180" cm="1">
        <f t="array" aca="1" ref="AB101" ca="1">IF(AND($B101=AB$93,$B101=$B102-1),NPV(real_discount_rate,OFFSET(AB62,,,,COUNTA($C$54:$BB$54)-COUNTA($C$54:AB$54)+1)-OFFSET(AB63,,,,COUNTA($C$54:$BB$54)-COUNTA($C$54:AB$54)+1))*(1+real_discount_rate),IF($B101=AB$2,AB$6,0))</f>
        <v>0</v>
      </c>
      <c r="AC101" s="180" cm="1">
        <f t="array" aca="1" ref="AC101" ca="1">IF(AND($B101=AC$93,$B101=$B102-1),NPV(real_discount_rate,OFFSET(AC62,,,,COUNTA($C$54:$BB$54)-COUNTA($C$54:AC$54)+1)-OFFSET(AC63,,,,COUNTA($C$54:$BB$54)-COUNTA($C$54:AC$54)+1))*(1+real_discount_rate),IF($B101=AC$2,AC$6,0))</f>
        <v>0</v>
      </c>
      <c r="AD101" s="180" cm="1">
        <f t="array" aca="1" ref="AD101" ca="1">IF(AND($B101=AD$93,$B101=$B102-1),NPV(real_discount_rate,OFFSET(AD62,,,,COUNTA($C$54:$BB$54)-COUNTA($C$54:AD$54)+1)-OFFSET(AD63,,,,COUNTA($C$54:$BB$54)-COUNTA($C$54:AD$54)+1))*(1+real_discount_rate),IF($B101=AD$2,AD$6,0))</f>
        <v>0</v>
      </c>
      <c r="AE101" s="180" cm="1">
        <f t="array" aca="1" ref="AE101" ca="1">IF(AND($B101=AE$93,$B101=$B102-1),NPV(real_discount_rate,OFFSET(AE62,,,,COUNTA($C$54:$BB$54)-COUNTA($C$54:AE$54)+1)-OFFSET(AE63,,,,COUNTA($C$54:$BB$54)-COUNTA($C$54:AE$54)+1))*(1+real_discount_rate),IF($B101=AE$2,AE$6,0))</f>
        <v>0</v>
      </c>
      <c r="AF101" s="180" cm="1">
        <f t="array" aca="1" ref="AF101" ca="1">IF(AND($B101=AF$93,$B101=$B102-1),NPV(real_discount_rate,OFFSET(AF62,,,,COUNTA($C$54:$BB$54)-COUNTA($C$54:AF$54)+1)-OFFSET(AF63,,,,COUNTA($C$54:$BB$54)-COUNTA($C$54:AF$54)+1))*(1+real_discount_rate),IF($B101=AF$2,AF$6,0))</f>
        <v>0</v>
      </c>
      <c r="AG101" s="180" cm="1">
        <f t="array" aca="1" ref="AG101" ca="1">IF(AND($B101=AG$93,$B101=$B102-1),NPV(real_discount_rate,OFFSET(AG62,,,,COUNTA($C$54:$BB$54)-COUNTA($C$54:AG$54)+1)-OFFSET(AG63,,,,COUNTA($C$54:$BB$54)-COUNTA($C$54:AG$54)+1))*(1+real_discount_rate),IF($B101=AG$2,AG$6,0))</f>
        <v>0</v>
      </c>
      <c r="AH101" s="649" cm="1">
        <f t="array" aca="1" ref="AH101" ca="1">IF(AND($B101=AH$93,$B101=$B102-1),NPV(real_discount_rate,OFFSET(AH62,,,,COUNTA($C$54:$BB$54)-COUNTA($C$54:AH$54)+1)-OFFSET(AH63,,,,COUNTA($C$54:$BB$54)-COUNTA($C$54:AH$54)+1))*(1+real_discount_rate),IF($B101=AH$2,AH$6,0))</f>
        <v>0</v>
      </c>
      <c r="AI101" s="653"/>
      <c r="AJ101" s="653"/>
      <c r="AK101" s="653"/>
      <c r="AL101" s="653"/>
      <c r="AM101" s="653"/>
      <c r="AN101" s="653"/>
      <c r="AO101" s="653"/>
      <c r="AP101" s="653"/>
      <c r="AQ101" s="653"/>
      <c r="AR101" s="653"/>
      <c r="AS101" s="653"/>
      <c r="AT101" s="653"/>
      <c r="AU101" s="653"/>
      <c r="AV101" s="653"/>
      <c r="AW101" s="653"/>
      <c r="AX101" s="653"/>
      <c r="AY101" s="653"/>
      <c r="AZ101" s="653"/>
      <c r="BA101" s="653"/>
      <c r="BB101" s="182"/>
      <c r="BC101" s="410"/>
    </row>
    <row r="102" spans="2:55" x14ac:dyDescent="0.3">
      <c r="B102" s="28">
        <v>2029</v>
      </c>
      <c r="C102" s="179" cm="1">
        <f t="array" aca="1" ref="C102" ca="1">IF(AND($B102=C$93,$B102=$B103-1),NPV(real_discount_rate,OFFSET(C63,,,,COUNTA($C$54:$BB$54)-COUNTA($C$54:C$54)+1)-OFFSET(C64,,,,COUNTA($C$54:$BB$54)-COUNTA($C$54:C$54)+1))*(1+real_discount_rate),IF($B102=C$2,C$6,0))</f>
        <v>0</v>
      </c>
      <c r="D102" s="180" cm="1">
        <f t="array" aca="1" ref="D102" ca="1">IF(AND($B102=D$93,$B102=$B103-1),NPV(real_discount_rate,OFFSET(D63,,,,COUNTA($C$54:$BB$54)-COUNTA($C$54:D$54)+1)-OFFSET(D64,,,,COUNTA($C$54:$BB$54)-COUNTA($C$54:D$54)+1))*(1+real_discount_rate),IF($B102=D$2,D$6,0))</f>
        <v>0</v>
      </c>
      <c r="E102" s="180" cm="1">
        <f t="array" aca="1" ref="E102" ca="1">IF(AND($B102=E$93,$B102=$B103-1),NPV(real_discount_rate,OFFSET(E63,,,,COUNTA($C$54:$BB$54)-COUNTA($C$54:E$54)+1)-OFFSET(E64,,,,COUNTA($C$54:$BB$54)-COUNTA($C$54:E$54)+1))*(1+real_discount_rate),IF($B102=E$2,E$6,0))</f>
        <v>0</v>
      </c>
      <c r="F102" s="180" cm="1">
        <f t="array" aca="1" ref="F102" ca="1">IF(AND($B102=F$93,$B102=$B103-1),NPV(real_discount_rate,OFFSET(F63,,,,COUNTA($C$54:$BB$54)-COUNTA($C$54:F$54)+1)-OFFSET(F64,,,,COUNTA($C$54:$BB$54)-COUNTA($C$54:F$54)+1))*(1+real_discount_rate),IF($B102=F$2,F$6,0))</f>
        <v>0</v>
      </c>
      <c r="G102" s="180" cm="1">
        <f t="array" aca="1" ref="G102" ca="1">IF(AND($B102=G$93,$B102=$B103-1),NPV(real_discount_rate,OFFSET(G63,,,,COUNTA($C$54:$BB$54)-COUNTA($C$54:G$54)+1)-OFFSET(G64,,,,COUNTA($C$54:$BB$54)-COUNTA($C$54:G$54)+1))*(1+real_discount_rate),IF($B102=G$2,G$6,0))</f>
        <v>0</v>
      </c>
      <c r="H102" s="180" cm="1">
        <f t="array" aca="1" ref="H102" ca="1">IF(AND($B102=H$93,$B102=$B103-1),NPV(real_discount_rate,OFFSET(H63,,,,COUNTA($C$54:$BB$54)-COUNTA($C$54:H$54)+1)-OFFSET(H64,,,,COUNTA($C$54:$BB$54)-COUNTA($C$54:H$54)+1))*(1+real_discount_rate),IF($B102=H$2,H$6,0))</f>
        <v>0</v>
      </c>
      <c r="I102" s="180" cm="1">
        <f t="array" aca="1" ref="I102" ca="1">IF(AND($B102=I$93,$B102=$B103-1),NPV(real_discount_rate,OFFSET(I63,,,,COUNTA($C$54:$BB$54)-COUNTA($C$54:I$54)+1)-OFFSET(I64,,,,COUNTA($C$54:$BB$54)-COUNTA($C$54:I$54)+1))*(1+real_discount_rate),IF($B102=I$2,I$6,0))</f>
        <v>0</v>
      </c>
      <c r="J102" s="180" cm="1">
        <f t="array" aca="1" ref="J102" ca="1">IF(AND($B102=J$93,$B102=$B103-1),NPV(real_discount_rate,OFFSET(J63,,,,COUNTA($C$54:$BB$54)-COUNTA($C$54:J$54)+1)-OFFSET(J64,,,,COUNTA($C$54:$BB$54)-COUNTA($C$54:J$54)+1))*(1+real_discount_rate),IF($B102=J$2,J$6,0))</f>
        <v>0</v>
      </c>
      <c r="K102" s="180" cm="1">
        <f t="array" aca="1" ref="K102" ca="1">IF(AND($B102=K$93,$B102=$B103-1),NPV(real_discount_rate,OFFSET(K63,,,,COUNTA($C$54:$BB$54)-COUNTA($C$54:K$54)+1)-OFFSET(K64,,,,COUNTA($C$54:$BB$54)-COUNTA($C$54:K$54)+1))*(1+real_discount_rate),IF($B102=K$2,K$6,0))</f>
        <v>119.79380871241072</v>
      </c>
      <c r="L102" s="180" cm="1">
        <f t="array" aca="1" ref="L102" ca="1">IF(AND($B102=L$93,$B102=$B103-1),NPV(real_discount_rate,OFFSET(L63,,,,COUNTA($C$54:$BB$54)-COUNTA($C$54:L$54)+1)-OFFSET(L64,,,,COUNTA($C$54:$BB$54)-COUNTA($C$54:L$54)+1))*(1+real_discount_rate),IF($B102=L$2,L$6,0))</f>
        <v>0</v>
      </c>
      <c r="M102" s="180" cm="1">
        <f t="array" aca="1" ref="M102" ca="1">IF(AND($B102=M$93,$B102=$B103-1),NPV(real_discount_rate,OFFSET(M63,,,,COUNTA($C$54:$BB$54)-COUNTA($C$54:M$54)+1)-OFFSET(M64,,,,COUNTA($C$54:$BB$54)-COUNTA($C$54:M$54)+1))*(1+real_discount_rate),IF($B102=M$2,M$6,0))</f>
        <v>0</v>
      </c>
      <c r="N102" s="180" cm="1">
        <f t="array" aca="1" ref="N102" ca="1">IF(AND($B102=N$93,$B102=$B103-1),NPV(real_discount_rate,OFFSET(N63,,,,COUNTA($C$54:$BB$54)-COUNTA($C$54:N$54)+1)-OFFSET(N64,,,,COUNTA($C$54:$BB$54)-COUNTA($C$54:N$54)+1))*(1+real_discount_rate),IF($B102=N$2,N$6,0))</f>
        <v>0</v>
      </c>
      <c r="O102" s="180" cm="1">
        <f t="array" aca="1" ref="O102" ca="1">IF(AND($B102=O$93,$B102=$B103-1),NPV(real_discount_rate,OFFSET(O63,,,,COUNTA($C$54:$BB$54)-COUNTA($C$54:O$54)+1)-OFFSET(O64,,,,COUNTA($C$54:$BB$54)-COUNTA($C$54:O$54)+1))*(1+real_discount_rate),IF($B102=O$2,O$6,0))</f>
        <v>0</v>
      </c>
      <c r="P102" s="180" cm="1">
        <f t="array" aca="1" ref="P102" ca="1">IF(AND($B102=P$93,$B102=$B103-1),NPV(real_discount_rate,OFFSET(P63,,,,COUNTA($C$54:$BB$54)-COUNTA($C$54:P$54)+1)-OFFSET(P64,,,,COUNTA($C$54:$BB$54)-COUNTA($C$54:P$54)+1))*(1+real_discount_rate),IF($B102=P$2,P$6,0))</f>
        <v>0</v>
      </c>
      <c r="Q102" s="180" cm="1">
        <f t="array" aca="1" ref="Q102" ca="1">IF(AND($B102=Q$93,$B102=$B103-1),NPV(real_discount_rate,OFFSET(Q63,,,,COUNTA($C$54:$BB$54)-COUNTA($C$54:Q$54)+1)-OFFSET(Q64,,,,COUNTA($C$54:$BB$54)-COUNTA($C$54:Q$54)+1))*(1+real_discount_rate),IF($B102=Q$2,Q$6,0))</f>
        <v>0</v>
      </c>
      <c r="R102" s="180" cm="1">
        <f t="array" aca="1" ref="R102" ca="1">IF(AND($B102=R$93,$B102=$B103-1),NPV(real_discount_rate,OFFSET(R63,,,,COUNTA($C$54:$BB$54)-COUNTA($C$54:R$54)+1)-OFFSET(R64,,,,COUNTA($C$54:$BB$54)-COUNTA($C$54:R$54)+1))*(1+real_discount_rate),IF($B102=R$2,R$6,0))</f>
        <v>0</v>
      </c>
      <c r="S102" s="180" cm="1">
        <f t="array" aca="1" ref="S102" ca="1">IF(AND($B102=S$93,$B102=$B103-1),NPV(real_discount_rate,OFFSET(S63,,,,COUNTA($C$54:$BB$54)-COUNTA($C$54:S$54)+1)-OFFSET(S64,,,,COUNTA($C$54:$BB$54)-COUNTA($C$54:S$54)+1))*(1+real_discount_rate),IF($B102=S$2,S$6,0))</f>
        <v>0</v>
      </c>
      <c r="T102" s="180" cm="1">
        <f t="array" aca="1" ref="T102" ca="1">IF(AND($B102=T$93,$B102=$B103-1),NPV(real_discount_rate,OFFSET(T63,,,,COUNTA($C$54:$BB$54)-COUNTA($C$54:T$54)+1)-OFFSET(T64,,,,COUNTA($C$54:$BB$54)-COUNTA($C$54:T$54)+1))*(1+real_discount_rate),IF($B102=T$2,T$6,0))</f>
        <v>0</v>
      </c>
      <c r="U102" s="180" cm="1">
        <f t="array" aca="1" ref="U102" ca="1">IF(AND($B102=U$93,$B102=$B103-1),NPV(real_discount_rate,OFFSET(U63,,,,COUNTA($C$54:$BB$54)-COUNTA($C$54:U$54)+1)-OFFSET(U64,,,,COUNTA($C$54:$BB$54)-COUNTA($C$54:U$54)+1))*(1+real_discount_rate),IF($B102=U$2,U$6,0))</f>
        <v>0</v>
      </c>
      <c r="V102" s="180" cm="1">
        <f t="array" aca="1" ref="V102" ca="1">IF(AND($B102=V$93,$B102=$B103-1),NPV(real_discount_rate,OFFSET(V63,,,,COUNTA($C$54:$BB$54)-COUNTA($C$54:V$54)+1)-OFFSET(V64,,,,COUNTA($C$54:$BB$54)-COUNTA($C$54:V$54)+1))*(1+real_discount_rate),IF($B102=V$2,V$6,0))</f>
        <v>0</v>
      </c>
      <c r="W102" s="180" cm="1">
        <f t="array" aca="1" ref="W102" ca="1">IF(AND($B102=W$93,$B102=$B103-1),NPV(real_discount_rate,OFFSET(W63,,,,COUNTA($C$54:$BB$54)-COUNTA($C$54:W$54)+1)-OFFSET(W64,,,,COUNTA($C$54:$BB$54)-COUNTA($C$54:W$54)+1))*(1+real_discount_rate),IF($B102=W$2,W$6,0))</f>
        <v>0</v>
      </c>
      <c r="X102" s="180" cm="1">
        <f t="array" aca="1" ref="X102" ca="1">IF(AND($B102=X$93,$B102=$B103-1),NPV(real_discount_rate,OFFSET(X63,,,,COUNTA($C$54:$BB$54)-COUNTA($C$54:X$54)+1)-OFFSET(X64,,,,COUNTA($C$54:$BB$54)-COUNTA($C$54:X$54)+1))*(1+real_discount_rate),IF($B102=X$2,X$6,0))</f>
        <v>0</v>
      </c>
      <c r="Y102" s="180" cm="1">
        <f t="array" aca="1" ref="Y102" ca="1">IF(AND($B102=Y$93,$B102=$B103-1),NPV(real_discount_rate,OFFSET(Y63,,,,COUNTA($C$54:$BB$54)-COUNTA($C$54:Y$54)+1)-OFFSET(Y64,,,,COUNTA($C$54:$BB$54)-COUNTA($C$54:Y$54)+1))*(1+real_discount_rate),IF($B102=Y$2,Y$6,0))</f>
        <v>0</v>
      </c>
      <c r="Z102" s="180" cm="1">
        <f t="array" aca="1" ref="Z102" ca="1">IF(AND($B102=Z$93,$B102=$B103-1),NPV(real_discount_rate,OFFSET(Z63,,,,COUNTA($C$54:$BB$54)-COUNTA($C$54:Z$54)+1)-OFFSET(Z64,,,,COUNTA($C$54:$BB$54)-COUNTA($C$54:Z$54)+1))*(1+real_discount_rate),IF($B102=Z$2,Z$6,0))</f>
        <v>0</v>
      </c>
      <c r="AA102" s="180" cm="1">
        <f t="array" aca="1" ref="AA102" ca="1">IF(AND($B102=AA$93,$B102=$B103-1),NPV(real_discount_rate,OFFSET(AA63,,,,COUNTA($C$54:$BB$54)-COUNTA($C$54:AA$54)+1)-OFFSET(AA64,,,,COUNTA($C$54:$BB$54)-COUNTA($C$54:AA$54)+1))*(1+real_discount_rate),IF($B102=AA$2,AA$6,0))</f>
        <v>0</v>
      </c>
      <c r="AB102" s="180" cm="1">
        <f t="array" aca="1" ref="AB102" ca="1">IF(AND($B102=AB$93,$B102=$B103-1),NPV(real_discount_rate,OFFSET(AB63,,,,COUNTA($C$54:$BB$54)-COUNTA($C$54:AB$54)+1)-OFFSET(AB64,,,,COUNTA($C$54:$BB$54)-COUNTA($C$54:AB$54)+1))*(1+real_discount_rate),IF($B102=AB$2,AB$6,0))</f>
        <v>0</v>
      </c>
      <c r="AC102" s="180" cm="1">
        <f t="array" aca="1" ref="AC102" ca="1">IF(AND($B102=AC$93,$B102=$B103-1),NPV(real_discount_rate,OFFSET(AC63,,,,COUNTA($C$54:$BB$54)-COUNTA($C$54:AC$54)+1)-OFFSET(AC64,,,,COUNTA($C$54:$BB$54)-COUNTA($C$54:AC$54)+1))*(1+real_discount_rate),IF($B102=AC$2,AC$6,0))</f>
        <v>0</v>
      </c>
      <c r="AD102" s="180" cm="1">
        <f t="array" aca="1" ref="AD102" ca="1">IF(AND($B102=AD$93,$B102=$B103-1),NPV(real_discount_rate,OFFSET(AD63,,,,COUNTA($C$54:$BB$54)-COUNTA($C$54:AD$54)+1)-OFFSET(AD64,,,,COUNTA($C$54:$BB$54)-COUNTA($C$54:AD$54)+1))*(1+real_discount_rate),IF($B102=AD$2,AD$6,0))</f>
        <v>0</v>
      </c>
      <c r="AE102" s="180" cm="1">
        <f t="array" aca="1" ref="AE102" ca="1">IF(AND($B102=AE$93,$B102=$B103-1),NPV(real_discount_rate,OFFSET(AE63,,,,COUNTA($C$54:$BB$54)-COUNTA($C$54:AE$54)+1)-OFFSET(AE64,,,,COUNTA($C$54:$BB$54)-COUNTA($C$54:AE$54)+1))*(1+real_discount_rate),IF($B102=AE$2,AE$6,0))</f>
        <v>0</v>
      </c>
      <c r="AF102" s="180" cm="1">
        <f t="array" aca="1" ref="AF102" ca="1">IF(AND($B102=AF$93,$B102=$B103-1),NPV(real_discount_rate,OFFSET(AF63,,,,COUNTA($C$54:$BB$54)-COUNTA($C$54:AF$54)+1)-OFFSET(AF64,,,,COUNTA($C$54:$BB$54)-COUNTA($C$54:AF$54)+1))*(1+real_discount_rate),IF($B102=AF$2,AF$6,0))</f>
        <v>0</v>
      </c>
      <c r="AG102" s="180" cm="1">
        <f t="array" aca="1" ref="AG102" ca="1">IF(AND($B102=AG$93,$B102=$B103-1),NPV(real_discount_rate,OFFSET(AG63,,,,COUNTA($C$54:$BB$54)-COUNTA($C$54:AG$54)+1)-OFFSET(AG64,,,,COUNTA($C$54:$BB$54)-COUNTA($C$54:AG$54)+1))*(1+real_discount_rate),IF($B102=AG$2,AG$6,0))</f>
        <v>0</v>
      </c>
      <c r="AH102" s="649" cm="1">
        <f t="array" aca="1" ref="AH102" ca="1">IF(AND($B102=AH$93,$B102=$B103-1),NPV(real_discount_rate,OFFSET(AH63,,,,COUNTA($C$54:$BB$54)-COUNTA($C$54:AH$54)+1)-OFFSET(AH64,,,,COUNTA($C$54:$BB$54)-COUNTA($C$54:AH$54)+1))*(1+real_discount_rate),IF($B102=AH$2,AH$6,0))</f>
        <v>0</v>
      </c>
      <c r="AI102" s="653"/>
      <c r="AJ102" s="653"/>
      <c r="AK102" s="653"/>
      <c r="AL102" s="653"/>
      <c r="AM102" s="653"/>
      <c r="AN102" s="653"/>
      <c r="AO102" s="653"/>
      <c r="AP102" s="653"/>
      <c r="AQ102" s="653"/>
      <c r="AR102" s="653"/>
      <c r="AS102" s="653"/>
      <c r="AT102" s="653"/>
      <c r="AU102" s="653"/>
      <c r="AV102" s="653"/>
      <c r="AW102" s="653"/>
      <c r="AX102" s="653"/>
      <c r="AY102" s="653"/>
      <c r="AZ102" s="653"/>
      <c r="BA102" s="653"/>
      <c r="BB102" s="182"/>
      <c r="BC102" s="410"/>
    </row>
    <row r="103" spans="2:55" x14ac:dyDescent="0.3">
      <c r="B103" s="28">
        <v>2030</v>
      </c>
      <c r="C103" s="179" cm="1">
        <f t="array" aca="1" ref="C103" ca="1">IF(AND($B103=C$93,$B103=$B104-1),NPV(real_discount_rate,OFFSET(C64,,,,COUNTA($C$54:$BB$54)-COUNTA($C$54:C$54)+1)-OFFSET(C65,,,,COUNTA($C$54:$BB$54)-COUNTA($C$54:C$54)+1))*(1+real_discount_rate),IF($B103=C$2,C$6,0))</f>
        <v>0</v>
      </c>
      <c r="D103" s="180" cm="1">
        <f t="array" aca="1" ref="D103" ca="1">IF(AND($B103=D$93,$B103=$B104-1),NPV(real_discount_rate,OFFSET(D64,,,,COUNTA($C$54:$BB$54)-COUNTA($C$54:D$54)+1)-OFFSET(D65,,,,COUNTA($C$54:$BB$54)-COUNTA($C$54:D$54)+1))*(1+real_discount_rate),IF($B103=D$2,D$6,0))</f>
        <v>0</v>
      </c>
      <c r="E103" s="180" cm="1">
        <f t="array" aca="1" ref="E103" ca="1">IF(AND($B103=E$93,$B103=$B104-1),NPV(real_discount_rate,OFFSET(E64,,,,COUNTA($C$54:$BB$54)-COUNTA($C$54:E$54)+1)-OFFSET(E65,,,,COUNTA($C$54:$BB$54)-COUNTA($C$54:E$54)+1))*(1+real_discount_rate),IF($B103=E$2,E$6,0))</f>
        <v>0</v>
      </c>
      <c r="F103" s="180" cm="1">
        <f t="array" aca="1" ref="F103" ca="1">IF(AND($B103=F$93,$B103=$B104-1),NPV(real_discount_rate,OFFSET(F64,,,,COUNTA($C$54:$BB$54)-COUNTA($C$54:F$54)+1)-OFFSET(F65,,,,COUNTA($C$54:$BB$54)-COUNTA($C$54:F$54)+1))*(1+real_discount_rate),IF($B103=F$2,F$6,0))</f>
        <v>0</v>
      </c>
      <c r="G103" s="180" cm="1">
        <f t="array" aca="1" ref="G103" ca="1">IF(AND($B103=G$93,$B103=$B104-1),NPV(real_discount_rate,OFFSET(G64,,,,COUNTA($C$54:$BB$54)-COUNTA($C$54:G$54)+1)-OFFSET(G65,,,,COUNTA($C$54:$BB$54)-COUNTA($C$54:G$54)+1))*(1+real_discount_rate),IF($B103=G$2,G$6,0))</f>
        <v>0</v>
      </c>
      <c r="H103" s="180" cm="1">
        <f t="array" aca="1" ref="H103" ca="1">IF(AND($B103=H$93,$B103=$B104-1),NPV(real_discount_rate,OFFSET(H64,,,,COUNTA($C$54:$BB$54)-COUNTA($C$54:H$54)+1)-OFFSET(H65,,,,COUNTA($C$54:$BB$54)-COUNTA($C$54:H$54)+1))*(1+real_discount_rate),IF($B103=H$2,H$6,0))</f>
        <v>0</v>
      </c>
      <c r="I103" s="180" cm="1">
        <f t="array" aca="1" ref="I103" ca="1">IF(AND($B103=I$93,$B103=$B104-1),NPV(real_discount_rate,OFFSET(I64,,,,COUNTA($C$54:$BB$54)-COUNTA($C$54:I$54)+1)-OFFSET(I65,,,,COUNTA($C$54:$BB$54)-COUNTA($C$54:I$54)+1))*(1+real_discount_rate),IF($B103=I$2,I$6,0))</f>
        <v>0</v>
      </c>
      <c r="J103" s="180" cm="1">
        <f t="array" aca="1" ref="J103" ca="1">IF(AND($B103=J$93,$B103=$B104-1),NPV(real_discount_rate,OFFSET(J64,,,,COUNTA($C$54:$BB$54)-COUNTA($C$54:J$54)+1)-OFFSET(J65,,,,COUNTA($C$54:$BB$54)-COUNTA($C$54:J$54)+1))*(1+real_discount_rate),IF($B103=J$2,J$6,0))</f>
        <v>0</v>
      </c>
      <c r="K103" s="180" cm="1">
        <f t="array" aca="1" ref="K103" ca="1">IF(AND($B103=K$93,$B103=$B104-1),NPV(real_discount_rate,OFFSET(K64,,,,COUNTA($C$54:$BB$54)-COUNTA($C$54:K$54)+1)-OFFSET(K65,,,,COUNTA($C$54:$BB$54)-COUNTA($C$54:K$54)+1))*(1+real_discount_rate),IF($B103=K$2,K$6,0))</f>
        <v>0</v>
      </c>
      <c r="L103" s="180" cm="1">
        <f t="array" aca="1" ref="L103" ca="1">IF(AND($B103=L$93,$B103=$B104-1),NPV(real_discount_rate,OFFSET(L64,,,,COUNTA($C$54:$BB$54)-COUNTA($C$54:L$54)+1)-OFFSET(L65,,,,COUNTA($C$54:$BB$54)-COUNTA($C$54:L$54)+1))*(1+real_discount_rate),IF($B103=L$2,L$6,0))</f>
        <v>79.515752957626447</v>
      </c>
      <c r="M103" s="180" cm="1">
        <f t="array" aca="1" ref="M103" ca="1">IF(AND($B103=M$93,$B103=$B104-1),NPV(real_discount_rate,OFFSET(M64,,,,COUNTA($C$54:$BB$54)-COUNTA($C$54:M$54)+1)-OFFSET(M65,,,,COUNTA($C$54:$BB$54)-COUNTA($C$54:M$54)+1))*(1+real_discount_rate),IF($B103=M$2,M$6,0))</f>
        <v>0</v>
      </c>
      <c r="N103" s="180" cm="1">
        <f t="array" aca="1" ref="N103" ca="1">IF(AND($B103=N$93,$B103=$B104-1),NPV(real_discount_rate,OFFSET(N64,,,,COUNTA($C$54:$BB$54)-COUNTA($C$54:N$54)+1)-OFFSET(N65,,,,COUNTA($C$54:$BB$54)-COUNTA($C$54:N$54)+1))*(1+real_discount_rate),IF($B103=N$2,N$6,0))</f>
        <v>0</v>
      </c>
      <c r="O103" s="180" cm="1">
        <f t="array" aca="1" ref="O103" ca="1">IF(AND($B103=O$93,$B103=$B104-1),NPV(real_discount_rate,OFFSET(O64,,,,COUNTA($C$54:$BB$54)-COUNTA($C$54:O$54)+1)-OFFSET(O65,,,,COUNTA($C$54:$BB$54)-COUNTA($C$54:O$54)+1))*(1+real_discount_rate),IF($B103=O$2,O$6,0))</f>
        <v>0</v>
      </c>
      <c r="P103" s="180" cm="1">
        <f t="array" aca="1" ref="P103" ca="1">IF(AND($B103=P$93,$B103=$B104-1),NPV(real_discount_rate,OFFSET(P64,,,,COUNTA($C$54:$BB$54)-COUNTA($C$54:P$54)+1)-OFFSET(P65,,,,COUNTA($C$54:$BB$54)-COUNTA($C$54:P$54)+1))*(1+real_discount_rate),IF($B103=P$2,P$6,0))</f>
        <v>0</v>
      </c>
      <c r="Q103" s="180" cm="1">
        <f t="array" aca="1" ref="Q103" ca="1">IF(AND($B103=Q$93,$B103=$B104-1),NPV(real_discount_rate,OFFSET(Q64,,,,COUNTA($C$54:$BB$54)-COUNTA($C$54:Q$54)+1)-OFFSET(Q65,,,,COUNTA($C$54:$BB$54)-COUNTA($C$54:Q$54)+1))*(1+real_discount_rate),IF($B103=Q$2,Q$6,0))</f>
        <v>0</v>
      </c>
      <c r="R103" s="180" cm="1">
        <f t="array" aca="1" ref="R103" ca="1">IF(AND($B103=R$93,$B103=$B104-1),NPV(real_discount_rate,OFFSET(R64,,,,COUNTA($C$54:$BB$54)-COUNTA($C$54:R$54)+1)-OFFSET(R65,,,,COUNTA($C$54:$BB$54)-COUNTA($C$54:R$54)+1))*(1+real_discount_rate),IF($B103=R$2,R$6,0))</f>
        <v>0</v>
      </c>
      <c r="S103" s="180" cm="1">
        <f t="array" aca="1" ref="S103" ca="1">IF(AND($B103=S$93,$B103=$B104-1),NPV(real_discount_rate,OFFSET(S64,,,,COUNTA($C$54:$BB$54)-COUNTA($C$54:S$54)+1)-OFFSET(S65,,,,COUNTA($C$54:$BB$54)-COUNTA($C$54:S$54)+1))*(1+real_discount_rate),IF($B103=S$2,S$6,0))</f>
        <v>0</v>
      </c>
      <c r="T103" s="180" cm="1">
        <f t="array" aca="1" ref="T103" ca="1">IF(AND($B103=T$93,$B103=$B104-1),NPV(real_discount_rate,OFFSET(T64,,,,COUNTA($C$54:$BB$54)-COUNTA($C$54:T$54)+1)-OFFSET(T65,,,,COUNTA($C$54:$BB$54)-COUNTA($C$54:T$54)+1))*(1+real_discount_rate),IF($B103=T$2,T$6,0))</f>
        <v>0</v>
      </c>
      <c r="U103" s="180" cm="1">
        <f t="array" aca="1" ref="U103" ca="1">IF(AND($B103=U$93,$B103=$B104-1),NPV(real_discount_rate,OFFSET(U64,,,,COUNTA($C$54:$BB$54)-COUNTA($C$54:U$54)+1)-OFFSET(U65,,,,COUNTA($C$54:$BB$54)-COUNTA($C$54:U$54)+1))*(1+real_discount_rate),IF($B103=U$2,U$6,0))</f>
        <v>0</v>
      </c>
      <c r="V103" s="180" cm="1">
        <f t="array" aca="1" ref="V103" ca="1">IF(AND($B103=V$93,$B103=$B104-1),NPV(real_discount_rate,OFFSET(V64,,,,COUNTA($C$54:$BB$54)-COUNTA($C$54:V$54)+1)-OFFSET(V65,,,,COUNTA($C$54:$BB$54)-COUNTA($C$54:V$54)+1))*(1+real_discount_rate),IF($B103=V$2,V$6,0))</f>
        <v>0</v>
      </c>
      <c r="W103" s="180" cm="1">
        <f t="array" aca="1" ref="W103" ca="1">IF(AND($B103=W$93,$B103=$B104-1),NPV(real_discount_rate,OFFSET(W64,,,,COUNTA($C$54:$BB$54)-COUNTA($C$54:W$54)+1)-OFFSET(W65,,,,COUNTA($C$54:$BB$54)-COUNTA($C$54:W$54)+1))*(1+real_discount_rate),IF($B103=W$2,W$6,0))</f>
        <v>0</v>
      </c>
      <c r="X103" s="180" cm="1">
        <f t="array" aca="1" ref="X103" ca="1">IF(AND($B103=X$93,$B103=$B104-1),NPV(real_discount_rate,OFFSET(X64,,,,COUNTA($C$54:$BB$54)-COUNTA($C$54:X$54)+1)-OFFSET(X65,,,,COUNTA($C$54:$BB$54)-COUNTA($C$54:X$54)+1))*(1+real_discount_rate),IF($B103=X$2,X$6,0))</f>
        <v>0</v>
      </c>
      <c r="Y103" s="180" cm="1">
        <f t="array" aca="1" ref="Y103" ca="1">IF(AND($B103=Y$93,$B103=$B104-1),NPV(real_discount_rate,OFFSET(Y64,,,,COUNTA($C$54:$BB$54)-COUNTA($C$54:Y$54)+1)-OFFSET(Y65,,,,COUNTA($C$54:$BB$54)-COUNTA($C$54:Y$54)+1))*(1+real_discount_rate),IF($B103=Y$2,Y$6,0))</f>
        <v>0</v>
      </c>
      <c r="Z103" s="180" cm="1">
        <f t="array" aca="1" ref="Z103" ca="1">IF(AND($B103=Z$93,$B103=$B104-1),NPV(real_discount_rate,OFFSET(Z64,,,,COUNTA($C$54:$BB$54)-COUNTA($C$54:Z$54)+1)-OFFSET(Z65,,,,COUNTA($C$54:$BB$54)-COUNTA($C$54:Z$54)+1))*(1+real_discount_rate),IF($B103=Z$2,Z$6,0))</f>
        <v>0</v>
      </c>
      <c r="AA103" s="180" cm="1">
        <f t="array" aca="1" ref="AA103" ca="1">IF(AND($B103=AA$93,$B103=$B104-1),NPV(real_discount_rate,OFFSET(AA64,,,,COUNTA($C$54:$BB$54)-COUNTA($C$54:AA$54)+1)-OFFSET(AA65,,,,COUNTA($C$54:$BB$54)-COUNTA($C$54:AA$54)+1))*(1+real_discount_rate),IF($B103=AA$2,AA$6,0))</f>
        <v>0</v>
      </c>
      <c r="AB103" s="180" cm="1">
        <f t="array" aca="1" ref="AB103" ca="1">IF(AND($B103=AB$93,$B103=$B104-1),NPV(real_discount_rate,OFFSET(AB64,,,,COUNTA($C$54:$BB$54)-COUNTA($C$54:AB$54)+1)-OFFSET(AB65,,,,COUNTA($C$54:$BB$54)-COUNTA($C$54:AB$54)+1))*(1+real_discount_rate),IF($B103=AB$2,AB$6,0))</f>
        <v>0</v>
      </c>
      <c r="AC103" s="180" cm="1">
        <f t="array" aca="1" ref="AC103" ca="1">IF(AND($B103=AC$93,$B103=$B104-1),NPV(real_discount_rate,OFFSET(AC64,,,,COUNTA($C$54:$BB$54)-COUNTA($C$54:AC$54)+1)-OFFSET(AC65,,,,COUNTA($C$54:$BB$54)-COUNTA($C$54:AC$54)+1))*(1+real_discount_rate),IF($B103=AC$2,AC$6,0))</f>
        <v>0</v>
      </c>
      <c r="AD103" s="180" cm="1">
        <f t="array" aca="1" ref="AD103" ca="1">IF(AND($B103=AD$93,$B103=$B104-1),NPV(real_discount_rate,OFFSET(AD64,,,,COUNTA($C$54:$BB$54)-COUNTA($C$54:AD$54)+1)-OFFSET(AD65,,,,COUNTA($C$54:$BB$54)-COUNTA($C$54:AD$54)+1))*(1+real_discount_rate),IF($B103=AD$2,AD$6,0))</f>
        <v>0</v>
      </c>
      <c r="AE103" s="180" cm="1">
        <f t="array" aca="1" ref="AE103" ca="1">IF(AND($B103=AE$93,$B103=$B104-1),NPV(real_discount_rate,OFFSET(AE64,,,,COUNTA($C$54:$BB$54)-COUNTA($C$54:AE$54)+1)-OFFSET(AE65,,,,COUNTA($C$54:$BB$54)-COUNTA($C$54:AE$54)+1))*(1+real_discount_rate),IF($B103=AE$2,AE$6,0))</f>
        <v>0</v>
      </c>
      <c r="AF103" s="180" cm="1">
        <f t="array" aca="1" ref="AF103" ca="1">IF(AND($B103=AF$93,$B103=$B104-1),NPV(real_discount_rate,OFFSET(AF64,,,,COUNTA($C$54:$BB$54)-COUNTA($C$54:AF$54)+1)-OFFSET(AF65,,,,COUNTA($C$54:$BB$54)-COUNTA($C$54:AF$54)+1))*(1+real_discount_rate),IF($B103=AF$2,AF$6,0))</f>
        <v>0</v>
      </c>
      <c r="AG103" s="180" cm="1">
        <f t="array" aca="1" ref="AG103" ca="1">IF(AND($B103=AG$93,$B103=$B104-1),NPV(real_discount_rate,OFFSET(AG64,,,,COUNTA($C$54:$BB$54)-COUNTA($C$54:AG$54)+1)-OFFSET(AG65,,,,COUNTA($C$54:$BB$54)-COUNTA($C$54:AG$54)+1))*(1+real_discount_rate),IF($B103=AG$2,AG$6,0))</f>
        <v>0</v>
      </c>
      <c r="AH103" s="649" cm="1">
        <f t="array" aca="1" ref="AH103" ca="1">IF(AND($B103=AH$93,$B103=$B104-1),NPV(real_discount_rate,OFFSET(AH64,,,,COUNTA($C$54:$BB$54)-COUNTA($C$54:AH$54)+1)-OFFSET(AH65,,,,COUNTA($C$54:$BB$54)-COUNTA($C$54:AH$54)+1))*(1+real_discount_rate),IF($B103=AH$2,AH$6,0))</f>
        <v>0</v>
      </c>
      <c r="AI103" s="653"/>
      <c r="AJ103" s="653"/>
      <c r="AK103" s="653"/>
      <c r="AL103" s="653"/>
      <c r="AM103" s="653"/>
      <c r="AN103" s="653"/>
      <c r="AO103" s="653"/>
      <c r="AP103" s="653"/>
      <c r="AQ103" s="653"/>
      <c r="AR103" s="653"/>
      <c r="AS103" s="653"/>
      <c r="AT103" s="653"/>
      <c r="AU103" s="653"/>
      <c r="AV103" s="653"/>
      <c r="AW103" s="653"/>
      <c r="AX103" s="653"/>
      <c r="AY103" s="653"/>
      <c r="AZ103" s="653"/>
      <c r="BA103" s="653"/>
      <c r="BB103" s="182"/>
      <c r="BC103" s="410"/>
    </row>
    <row r="104" spans="2:55" x14ac:dyDescent="0.3">
      <c r="B104" s="28">
        <v>2031</v>
      </c>
      <c r="C104" s="179" cm="1">
        <f t="array" aca="1" ref="C104" ca="1">IF(AND($B104=C$93,$B104=$B105-1),NPV(real_discount_rate,OFFSET(C65,,,,COUNTA($C$54:$BB$54)-COUNTA($C$54:C$54)+1)-OFFSET(C66,,,,COUNTA($C$54:$BB$54)-COUNTA($C$54:C$54)+1))*(1+real_discount_rate),IF($B104=C$2,C$6,0))</f>
        <v>0</v>
      </c>
      <c r="D104" s="180" cm="1">
        <f t="array" aca="1" ref="D104" ca="1">IF(AND($B104=D$93,$B104=$B105-1),NPV(real_discount_rate,OFFSET(D65,,,,COUNTA($C$54:$BB$54)-COUNTA($C$54:D$54)+1)-OFFSET(D66,,,,COUNTA($C$54:$BB$54)-COUNTA($C$54:D$54)+1))*(1+real_discount_rate),IF($B104=D$2,D$6,0))</f>
        <v>0</v>
      </c>
      <c r="E104" s="180" cm="1">
        <f t="array" aca="1" ref="E104" ca="1">IF(AND($B104=E$93,$B104=$B105-1),NPV(real_discount_rate,OFFSET(E65,,,,COUNTA($C$54:$BB$54)-COUNTA($C$54:E$54)+1)-OFFSET(E66,,,,COUNTA($C$54:$BB$54)-COUNTA($C$54:E$54)+1))*(1+real_discount_rate),IF($B104=E$2,E$6,0))</f>
        <v>0</v>
      </c>
      <c r="F104" s="180" cm="1">
        <f t="array" aca="1" ref="F104" ca="1">IF(AND($B104=F$93,$B104=$B105-1),NPV(real_discount_rate,OFFSET(F65,,,,COUNTA($C$54:$BB$54)-COUNTA($C$54:F$54)+1)-OFFSET(F66,,,,COUNTA($C$54:$BB$54)-COUNTA($C$54:F$54)+1))*(1+real_discount_rate),IF($B104=F$2,F$6,0))</f>
        <v>0</v>
      </c>
      <c r="G104" s="180" cm="1">
        <f t="array" aca="1" ref="G104" ca="1">IF(AND($B104=G$93,$B104=$B105-1),NPV(real_discount_rate,OFFSET(G65,,,,COUNTA($C$54:$BB$54)-COUNTA($C$54:G$54)+1)-OFFSET(G66,,,,COUNTA($C$54:$BB$54)-COUNTA($C$54:G$54)+1))*(1+real_discount_rate),IF($B104=G$2,G$6,0))</f>
        <v>0</v>
      </c>
      <c r="H104" s="180" cm="1">
        <f t="array" aca="1" ref="H104" ca="1">IF(AND($B104=H$93,$B104=$B105-1),NPV(real_discount_rate,OFFSET(H65,,,,COUNTA($C$54:$BB$54)-COUNTA($C$54:H$54)+1)-OFFSET(H66,,,,COUNTA($C$54:$BB$54)-COUNTA($C$54:H$54)+1))*(1+real_discount_rate),IF($B104=H$2,H$6,0))</f>
        <v>0</v>
      </c>
      <c r="I104" s="180" cm="1">
        <f t="array" aca="1" ref="I104" ca="1">IF(AND($B104=I$93,$B104=$B105-1),NPV(real_discount_rate,OFFSET(I65,,,,COUNTA($C$54:$BB$54)-COUNTA($C$54:I$54)+1)-OFFSET(I66,,,,COUNTA($C$54:$BB$54)-COUNTA($C$54:I$54)+1))*(1+real_discount_rate),IF($B104=I$2,I$6,0))</f>
        <v>0</v>
      </c>
      <c r="J104" s="180" cm="1">
        <f t="array" aca="1" ref="J104" ca="1">IF(AND($B104=J$93,$B104=$B105-1),NPV(real_discount_rate,OFFSET(J65,,,,COUNTA($C$54:$BB$54)-COUNTA($C$54:J$54)+1)-OFFSET(J66,,,,COUNTA($C$54:$BB$54)-COUNTA($C$54:J$54)+1))*(1+real_discount_rate),IF($B104=J$2,J$6,0))</f>
        <v>0</v>
      </c>
      <c r="K104" s="180" cm="1">
        <f t="array" aca="1" ref="K104" ca="1">IF(AND($B104=K$93,$B104=$B105-1),NPV(real_discount_rate,OFFSET(K65,,,,COUNTA($C$54:$BB$54)-COUNTA($C$54:K$54)+1)-OFFSET(K66,,,,COUNTA($C$54:$BB$54)-COUNTA($C$54:K$54)+1))*(1+real_discount_rate),IF($B104=K$2,K$6,0))</f>
        <v>0</v>
      </c>
      <c r="L104" s="180" cm="1">
        <f t="array" aca="1" ref="L104" ca="1">IF(AND($B104=L$93,$B104=$B105-1),NPV(real_discount_rate,OFFSET(L65,,,,COUNTA($C$54:$BB$54)-COUNTA($C$54:L$54)+1)-OFFSET(L66,,,,COUNTA($C$54:$BB$54)-COUNTA($C$54:L$54)+1))*(1+real_discount_rate),IF($B104=L$2,L$6,0))</f>
        <v>0</v>
      </c>
      <c r="M104" s="180" cm="1">
        <f t="array" aca="1" ref="M104" ca="1">IF(AND($B104=M$93,$B104=$B105-1),NPV(real_discount_rate,OFFSET(M65,,,,COUNTA($C$54:$BB$54)-COUNTA($C$54:M$54)+1)-OFFSET(M66,,,,COUNTA($C$54:$BB$54)-COUNTA($C$54:M$54)+1))*(1+real_discount_rate),IF($B104=M$2,M$6,0))</f>
        <v>78.213631955305189</v>
      </c>
      <c r="N104" s="180" cm="1">
        <f t="array" aca="1" ref="N104" ca="1">IF(AND($B104=N$93,$B104=$B105-1),NPV(real_discount_rate,OFFSET(N65,,,,COUNTA($C$54:$BB$54)-COUNTA($C$54:N$54)+1)-OFFSET(N66,,,,COUNTA($C$54:$BB$54)-COUNTA($C$54:N$54)+1))*(1+real_discount_rate),IF($B104=N$2,N$6,0))</f>
        <v>0</v>
      </c>
      <c r="O104" s="180" cm="1">
        <f t="array" aca="1" ref="O104" ca="1">IF(AND($B104=O$93,$B104=$B105-1),NPV(real_discount_rate,OFFSET(O65,,,,COUNTA($C$54:$BB$54)-COUNTA($C$54:O$54)+1)-OFFSET(O66,,,,COUNTA($C$54:$BB$54)-COUNTA($C$54:O$54)+1))*(1+real_discount_rate),IF($B104=O$2,O$6,0))</f>
        <v>0</v>
      </c>
      <c r="P104" s="180" cm="1">
        <f t="array" aca="1" ref="P104" ca="1">IF(AND($B104=P$93,$B104=$B105-1),NPV(real_discount_rate,OFFSET(P65,,,,COUNTA($C$54:$BB$54)-COUNTA($C$54:P$54)+1)-OFFSET(P66,,,,COUNTA($C$54:$BB$54)-COUNTA($C$54:P$54)+1))*(1+real_discount_rate),IF($B104=P$2,P$6,0))</f>
        <v>0</v>
      </c>
      <c r="Q104" s="180" cm="1">
        <f t="array" aca="1" ref="Q104" ca="1">IF(AND($B104=Q$93,$B104=$B105-1),NPV(real_discount_rate,OFFSET(Q65,,,,COUNTA($C$54:$BB$54)-COUNTA($C$54:Q$54)+1)-OFFSET(Q66,,,,COUNTA($C$54:$BB$54)-COUNTA($C$54:Q$54)+1))*(1+real_discount_rate),IF($B104=Q$2,Q$6,0))</f>
        <v>0</v>
      </c>
      <c r="R104" s="180" cm="1">
        <f t="array" aca="1" ref="R104" ca="1">IF(AND($B104=R$93,$B104=$B105-1),NPV(real_discount_rate,OFFSET(R65,,,,COUNTA($C$54:$BB$54)-COUNTA($C$54:R$54)+1)-OFFSET(R66,,,,COUNTA($C$54:$BB$54)-COUNTA($C$54:R$54)+1))*(1+real_discount_rate),IF($B104=R$2,R$6,0))</f>
        <v>0</v>
      </c>
      <c r="S104" s="180" cm="1">
        <f t="array" aca="1" ref="S104" ca="1">IF(AND($B104=S$93,$B104=$B105-1),NPV(real_discount_rate,OFFSET(S65,,,,COUNTA($C$54:$BB$54)-COUNTA($C$54:S$54)+1)-OFFSET(S66,,,,COUNTA($C$54:$BB$54)-COUNTA($C$54:S$54)+1))*(1+real_discount_rate),IF($B104=S$2,S$6,0))</f>
        <v>0</v>
      </c>
      <c r="T104" s="180" cm="1">
        <f t="array" aca="1" ref="T104" ca="1">IF(AND($B104=T$93,$B104=$B105-1),NPV(real_discount_rate,OFFSET(T65,,,,COUNTA($C$54:$BB$54)-COUNTA($C$54:T$54)+1)-OFFSET(T66,,,,COUNTA($C$54:$BB$54)-COUNTA($C$54:T$54)+1))*(1+real_discount_rate),IF($B104=T$2,T$6,0))</f>
        <v>0</v>
      </c>
      <c r="U104" s="180" cm="1">
        <f t="array" aca="1" ref="U104" ca="1">IF(AND($B104=U$93,$B104=$B105-1),NPV(real_discount_rate,OFFSET(U65,,,,COUNTA($C$54:$BB$54)-COUNTA($C$54:U$54)+1)-OFFSET(U66,,,,COUNTA($C$54:$BB$54)-COUNTA($C$54:U$54)+1))*(1+real_discount_rate),IF($B104=U$2,U$6,0))</f>
        <v>0</v>
      </c>
      <c r="V104" s="180" cm="1">
        <f t="array" aca="1" ref="V104" ca="1">IF(AND($B104=V$93,$B104=$B105-1),NPV(real_discount_rate,OFFSET(V65,,,,COUNTA($C$54:$BB$54)-COUNTA($C$54:V$54)+1)-OFFSET(V66,,,,COUNTA($C$54:$BB$54)-COUNTA($C$54:V$54)+1))*(1+real_discount_rate),IF($B104=V$2,V$6,0))</f>
        <v>0</v>
      </c>
      <c r="W104" s="180" cm="1">
        <f t="array" aca="1" ref="W104" ca="1">IF(AND($B104=W$93,$B104=$B105-1),NPV(real_discount_rate,OFFSET(W65,,,,COUNTA($C$54:$BB$54)-COUNTA($C$54:W$54)+1)-OFFSET(W66,,,,COUNTA($C$54:$BB$54)-COUNTA($C$54:W$54)+1))*(1+real_discount_rate),IF($B104=W$2,W$6,0))</f>
        <v>0</v>
      </c>
      <c r="X104" s="180" cm="1">
        <f t="array" aca="1" ref="X104" ca="1">IF(AND($B104=X$93,$B104=$B105-1),NPV(real_discount_rate,OFFSET(X65,,,,COUNTA($C$54:$BB$54)-COUNTA($C$54:X$54)+1)-OFFSET(X66,,,,COUNTA($C$54:$BB$54)-COUNTA($C$54:X$54)+1))*(1+real_discount_rate),IF($B104=X$2,X$6,0))</f>
        <v>0</v>
      </c>
      <c r="Y104" s="180" cm="1">
        <f t="array" aca="1" ref="Y104" ca="1">IF(AND($B104=Y$93,$B104=$B105-1),NPV(real_discount_rate,OFFSET(Y65,,,,COUNTA($C$54:$BB$54)-COUNTA($C$54:Y$54)+1)-OFFSET(Y66,,,,COUNTA($C$54:$BB$54)-COUNTA($C$54:Y$54)+1))*(1+real_discount_rate),IF($B104=Y$2,Y$6,0))</f>
        <v>0</v>
      </c>
      <c r="Z104" s="180" cm="1">
        <f t="array" aca="1" ref="Z104" ca="1">IF(AND($B104=Z$93,$B104=$B105-1),NPV(real_discount_rate,OFFSET(Z65,,,,COUNTA($C$54:$BB$54)-COUNTA($C$54:Z$54)+1)-OFFSET(Z66,,,,COUNTA($C$54:$BB$54)-COUNTA($C$54:Z$54)+1))*(1+real_discount_rate),IF($B104=Z$2,Z$6,0))</f>
        <v>0</v>
      </c>
      <c r="AA104" s="180" cm="1">
        <f t="array" aca="1" ref="AA104" ca="1">IF(AND($B104=AA$93,$B104=$B105-1),NPV(real_discount_rate,OFFSET(AA65,,,,COUNTA($C$54:$BB$54)-COUNTA($C$54:AA$54)+1)-OFFSET(AA66,,,,COUNTA($C$54:$BB$54)-COUNTA($C$54:AA$54)+1))*(1+real_discount_rate),IF($B104=AA$2,AA$6,0))</f>
        <v>0</v>
      </c>
      <c r="AB104" s="180" cm="1">
        <f t="array" aca="1" ref="AB104" ca="1">IF(AND($B104=AB$93,$B104=$B105-1),NPV(real_discount_rate,OFFSET(AB65,,,,COUNTA($C$54:$BB$54)-COUNTA($C$54:AB$54)+1)-OFFSET(AB66,,,,COUNTA($C$54:$BB$54)-COUNTA($C$54:AB$54)+1))*(1+real_discount_rate),IF($B104=AB$2,AB$6,0))</f>
        <v>0</v>
      </c>
      <c r="AC104" s="180" cm="1">
        <f t="array" aca="1" ref="AC104" ca="1">IF(AND($B104=AC$93,$B104=$B105-1),NPV(real_discount_rate,OFFSET(AC65,,,,COUNTA($C$54:$BB$54)-COUNTA($C$54:AC$54)+1)-OFFSET(AC66,,,,COUNTA($C$54:$BB$54)-COUNTA($C$54:AC$54)+1))*(1+real_discount_rate),IF($B104=AC$2,AC$6,0))</f>
        <v>0</v>
      </c>
      <c r="AD104" s="180" cm="1">
        <f t="array" aca="1" ref="AD104" ca="1">IF(AND($B104=AD$93,$B104=$B105-1),NPV(real_discount_rate,OFFSET(AD65,,,,COUNTA($C$54:$BB$54)-COUNTA($C$54:AD$54)+1)-OFFSET(AD66,,,,COUNTA($C$54:$BB$54)-COUNTA($C$54:AD$54)+1))*(1+real_discount_rate),IF($B104=AD$2,AD$6,0))</f>
        <v>0</v>
      </c>
      <c r="AE104" s="180" cm="1">
        <f t="array" aca="1" ref="AE104" ca="1">IF(AND($B104=AE$93,$B104=$B105-1),NPV(real_discount_rate,OFFSET(AE65,,,,COUNTA($C$54:$BB$54)-COUNTA($C$54:AE$54)+1)-OFFSET(AE66,,,,COUNTA($C$54:$BB$54)-COUNTA($C$54:AE$54)+1))*(1+real_discount_rate),IF($B104=AE$2,AE$6,0))</f>
        <v>0</v>
      </c>
      <c r="AF104" s="180" cm="1">
        <f t="array" aca="1" ref="AF104" ca="1">IF(AND($B104=AF$93,$B104=$B105-1),NPV(real_discount_rate,OFFSET(AF65,,,,COUNTA($C$54:$BB$54)-COUNTA($C$54:AF$54)+1)-OFFSET(AF66,,,,COUNTA($C$54:$BB$54)-COUNTA($C$54:AF$54)+1))*(1+real_discount_rate),IF($B104=AF$2,AF$6,0))</f>
        <v>0</v>
      </c>
      <c r="AG104" s="180" cm="1">
        <f t="array" aca="1" ref="AG104" ca="1">IF(AND($B104=AG$93,$B104=$B105-1),NPV(real_discount_rate,OFFSET(AG65,,,,COUNTA($C$54:$BB$54)-COUNTA($C$54:AG$54)+1)-OFFSET(AG66,,,,COUNTA($C$54:$BB$54)-COUNTA($C$54:AG$54)+1))*(1+real_discount_rate),IF($B104=AG$2,AG$6,0))</f>
        <v>0</v>
      </c>
      <c r="AH104" s="649" cm="1">
        <f t="array" aca="1" ref="AH104" ca="1">IF(AND($B104=AH$93,$B104=$B105-1),NPV(real_discount_rate,OFFSET(AH65,,,,COUNTA($C$54:$BB$54)-COUNTA($C$54:AH$54)+1)-OFFSET(AH66,,,,COUNTA($C$54:$BB$54)-COUNTA($C$54:AH$54)+1))*(1+real_discount_rate),IF($B104=AH$2,AH$6,0))</f>
        <v>0</v>
      </c>
      <c r="AI104" s="653"/>
      <c r="AJ104" s="653"/>
      <c r="AK104" s="653"/>
      <c r="AL104" s="653"/>
      <c r="AM104" s="653"/>
      <c r="AN104" s="653"/>
      <c r="AO104" s="653"/>
      <c r="AP104" s="653"/>
      <c r="AQ104" s="653"/>
      <c r="AR104" s="653"/>
      <c r="AS104" s="653"/>
      <c r="AT104" s="653"/>
      <c r="AU104" s="653"/>
      <c r="AV104" s="653"/>
      <c r="AW104" s="653"/>
      <c r="AX104" s="653"/>
      <c r="AY104" s="653"/>
      <c r="AZ104" s="653"/>
      <c r="BA104" s="653"/>
      <c r="BB104" s="182"/>
      <c r="BC104" s="410"/>
    </row>
    <row r="105" spans="2:55" x14ac:dyDescent="0.3">
      <c r="B105" s="28">
        <v>2032</v>
      </c>
      <c r="C105" s="179" cm="1">
        <f t="array" aca="1" ref="C105" ca="1">IF(AND($B105=C$93,$B105=$B106-1),NPV(real_discount_rate,OFFSET(C66,,,,COUNTA($C$54:$BB$54)-COUNTA($C$54:C$54)+1)-OFFSET(C67,,,,COUNTA($C$54:$BB$54)-COUNTA($C$54:C$54)+1))*(1+real_discount_rate),IF($B105=C$2,C$6,0))</f>
        <v>0</v>
      </c>
      <c r="D105" s="180" cm="1">
        <f t="array" aca="1" ref="D105" ca="1">IF(AND($B105=D$93,$B105=$B106-1),NPV(real_discount_rate,OFFSET(D66,,,,COUNTA($C$54:$BB$54)-COUNTA($C$54:D$54)+1)-OFFSET(D67,,,,COUNTA($C$54:$BB$54)-COUNTA($C$54:D$54)+1))*(1+real_discount_rate),IF($B105=D$2,D$6,0))</f>
        <v>0</v>
      </c>
      <c r="E105" s="180" cm="1">
        <f t="array" aca="1" ref="E105" ca="1">IF(AND($B105=E$93,$B105=$B106-1),NPV(real_discount_rate,OFFSET(E66,,,,COUNTA($C$54:$BB$54)-COUNTA($C$54:E$54)+1)-OFFSET(E67,,,,COUNTA($C$54:$BB$54)-COUNTA($C$54:E$54)+1))*(1+real_discount_rate),IF($B105=E$2,E$6,0))</f>
        <v>0</v>
      </c>
      <c r="F105" s="180" cm="1">
        <f t="array" aca="1" ref="F105" ca="1">IF(AND($B105=F$93,$B105=$B106-1),NPV(real_discount_rate,OFFSET(F66,,,,COUNTA($C$54:$BB$54)-COUNTA($C$54:F$54)+1)-OFFSET(F67,,,,COUNTA($C$54:$BB$54)-COUNTA($C$54:F$54)+1))*(1+real_discount_rate),IF($B105=F$2,F$6,0))</f>
        <v>0</v>
      </c>
      <c r="G105" s="180" cm="1">
        <f t="array" aca="1" ref="G105" ca="1">IF(AND($B105=G$93,$B105=$B106-1),NPV(real_discount_rate,OFFSET(G66,,,,COUNTA($C$54:$BB$54)-COUNTA($C$54:G$54)+1)-OFFSET(G67,,,,COUNTA($C$54:$BB$54)-COUNTA($C$54:G$54)+1))*(1+real_discount_rate),IF($B105=G$2,G$6,0))</f>
        <v>0</v>
      </c>
      <c r="H105" s="180" cm="1">
        <f t="array" aca="1" ref="H105" ca="1">IF(AND($B105=H$93,$B105=$B106-1),NPV(real_discount_rate,OFFSET(H66,,,,COUNTA($C$54:$BB$54)-COUNTA($C$54:H$54)+1)-OFFSET(H67,,,,COUNTA($C$54:$BB$54)-COUNTA($C$54:H$54)+1))*(1+real_discount_rate),IF($B105=H$2,H$6,0))</f>
        <v>0</v>
      </c>
      <c r="I105" s="180" cm="1">
        <f t="array" aca="1" ref="I105" ca="1">IF(AND($B105=I$93,$B105=$B106-1),NPV(real_discount_rate,OFFSET(I66,,,,COUNTA($C$54:$BB$54)-COUNTA($C$54:I$54)+1)-OFFSET(I67,,,,COUNTA($C$54:$BB$54)-COUNTA($C$54:I$54)+1))*(1+real_discount_rate),IF($B105=I$2,I$6,0))</f>
        <v>0</v>
      </c>
      <c r="J105" s="180" cm="1">
        <f t="array" aca="1" ref="J105" ca="1">IF(AND($B105=J$93,$B105=$B106-1),NPV(real_discount_rate,OFFSET(J66,,,,COUNTA($C$54:$BB$54)-COUNTA($C$54:J$54)+1)-OFFSET(J67,,,,COUNTA($C$54:$BB$54)-COUNTA($C$54:J$54)+1))*(1+real_discount_rate),IF($B105=J$2,J$6,0))</f>
        <v>0</v>
      </c>
      <c r="K105" s="180" cm="1">
        <f t="array" aca="1" ref="K105" ca="1">IF(AND($B105=K$93,$B105=$B106-1),NPV(real_discount_rate,OFFSET(K66,,,,COUNTA($C$54:$BB$54)-COUNTA($C$54:K$54)+1)-OFFSET(K67,,,,COUNTA($C$54:$BB$54)-COUNTA($C$54:K$54)+1))*(1+real_discount_rate),IF($B105=K$2,K$6,0))</f>
        <v>0</v>
      </c>
      <c r="L105" s="180" cm="1">
        <f t="array" aca="1" ref="L105" ca="1">IF(AND($B105=L$93,$B105=$B106-1),NPV(real_discount_rate,OFFSET(L66,,,,COUNTA($C$54:$BB$54)-COUNTA($C$54:L$54)+1)-OFFSET(L67,,,,COUNTA($C$54:$BB$54)-COUNTA($C$54:L$54)+1))*(1+real_discount_rate),IF($B105=L$2,L$6,0))</f>
        <v>0</v>
      </c>
      <c r="M105" s="180" cm="1">
        <f t="array" aca="1" ref="M105" ca="1">IF(AND($B105=M$93,$B105=$B106-1),NPV(real_discount_rate,OFFSET(M66,,,,COUNTA($C$54:$BB$54)-COUNTA($C$54:M$54)+1)-OFFSET(M67,,,,COUNTA($C$54:$BB$54)-COUNTA($C$54:M$54)+1))*(1+real_discount_rate),IF($B105=M$2,M$6,0))</f>
        <v>0</v>
      </c>
      <c r="N105" s="180" cm="1">
        <f t="array" aca="1" ref="N105" ca="1">IF(AND($B105=N$93,$B105=$B106-1),NPV(real_discount_rate,OFFSET(N66,,,,COUNTA($C$54:$BB$54)-COUNTA($C$54:N$54)+1)-OFFSET(N67,,,,COUNTA($C$54:$BB$54)-COUNTA($C$54:N$54)+1))*(1+real_discount_rate),IF($B105=N$2,N$6,0))</f>
        <v>80.801838984801819</v>
      </c>
      <c r="O105" s="180" cm="1">
        <f t="array" aca="1" ref="O105" ca="1">IF(AND($B105=O$93,$B105=$B106-1),NPV(real_discount_rate,OFFSET(O66,,,,COUNTA($C$54:$BB$54)-COUNTA($C$54:O$54)+1)-OFFSET(O67,,,,COUNTA($C$54:$BB$54)-COUNTA($C$54:O$54)+1))*(1+real_discount_rate),IF($B105=O$2,O$6,0))</f>
        <v>0</v>
      </c>
      <c r="P105" s="180" cm="1">
        <f t="array" aca="1" ref="P105" ca="1">IF(AND($B105=P$93,$B105=$B106-1),NPV(real_discount_rate,OFFSET(P66,,,,COUNTA($C$54:$BB$54)-COUNTA($C$54:P$54)+1)-OFFSET(P67,,,,COUNTA($C$54:$BB$54)-COUNTA($C$54:P$54)+1))*(1+real_discount_rate),IF($B105=P$2,P$6,0))</f>
        <v>0</v>
      </c>
      <c r="Q105" s="180" cm="1">
        <f t="array" aca="1" ref="Q105" ca="1">IF(AND($B105=Q$93,$B105=$B106-1),NPV(real_discount_rate,OFFSET(Q66,,,,COUNTA($C$54:$BB$54)-COUNTA($C$54:Q$54)+1)-OFFSET(Q67,,,,COUNTA($C$54:$BB$54)-COUNTA($C$54:Q$54)+1))*(1+real_discount_rate),IF($B105=Q$2,Q$6,0))</f>
        <v>0</v>
      </c>
      <c r="R105" s="180" cm="1">
        <f t="array" aca="1" ref="R105" ca="1">IF(AND($B105=R$93,$B105=$B106-1),NPV(real_discount_rate,OFFSET(R66,,,,COUNTA($C$54:$BB$54)-COUNTA($C$54:R$54)+1)-OFFSET(R67,,,,COUNTA($C$54:$BB$54)-COUNTA($C$54:R$54)+1))*(1+real_discount_rate),IF($B105=R$2,R$6,0))</f>
        <v>0</v>
      </c>
      <c r="S105" s="180" cm="1">
        <f t="array" aca="1" ref="S105" ca="1">IF(AND($B105=S$93,$B105=$B106-1),NPV(real_discount_rate,OFFSET(S66,,,,COUNTA($C$54:$BB$54)-COUNTA($C$54:S$54)+1)-OFFSET(S67,,,,COUNTA($C$54:$BB$54)-COUNTA($C$54:S$54)+1))*(1+real_discount_rate),IF($B105=S$2,S$6,0))</f>
        <v>0</v>
      </c>
      <c r="T105" s="180" cm="1">
        <f t="array" aca="1" ref="T105" ca="1">IF(AND($B105=T$93,$B105=$B106-1),NPV(real_discount_rate,OFFSET(T66,,,,COUNTA($C$54:$BB$54)-COUNTA($C$54:T$54)+1)-OFFSET(T67,,,,COUNTA($C$54:$BB$54)-COUNTA($C$54:T$54)+1))*(1+real_discount_rate),IF($B105=T$2,T$6,0))</f>
        <v>0</v>
      </c>
      <c r="U105" s="180" cm="1">
        <f t="array" aca="1" ref="U105" ca="1">IF(AND($B105=U$93,$B105=$B106-1),NPV(real_discount_rate,OFFSET(U66,,,,COUNTA($C$54:$BB$54)-COUNTA($C$54:U$54)+1)-OFFSET(U67,,,,COUNTA($C$54:$BB$54)-COUNTA($C$54:U$54)+1))*(1+real_discount_rate),IF($B105=U$2,U$6,0))</f>
        <v>0</v>
      </c>
      <c r="V105" s="180" cm="1">
        <f t="array" aca="1" ref="V105" ca="1">IF(AND($B105=V$93,$B105=$B106-1),NPV(real_discount_rate,OFFSET(V66,,,,COUNTA($C$54:$BB$54)-COUNTA($C$54:V$54)+1)-OFFSET(V67,,,,COUNTA($C$54:$BB$54)-COUNTA($C$54:V$54)+1))*(1+real_discount_rate),IF($B105=V$2,V$6,0))</f>
        <v>0</v>
      </c>
      <c r="W105" s="180" cm="1">
        <f t="array" aca="1" ref="W105" ca="1">IF(AND($B105=W$93,$B105=$B106-1),NPV(real_discount_rate,OFFSET(W66,,,,COUNTA($C$54:$BB$54)-COUNTA($C$54:W$54)+1)-OFFSET(W67,,,,COUNTA($C$54:$BB$54)-COUNTA($C$54:W$54)+1))*(1+real_discount_rate),IF($B105=W$2,W$6,0))</f>
        <v>0</v>
      </c>
      <c r="X105" s="180" cm="1">
        <f t="array" aca="1" ref="X105" ca="1">IF(AND($B105=X$93,$B105=$B106-1),NPV(real_discount_rate,OFFSET(X66,,,,COUNTA($C$54:$BB$54)-COUNTA($C$54:X$54)+1)-OFFSET(X67,,,,COUNTA($C$54:$BB$54)-COUNTA($C$54:X$54)+1))*(1+real_discount_rate),IF($B105=X$2,X$6,0))</f>
        <v>0</v>
      </c>
      <c r="Y105" s="180" cm="1">
        <f t="array" aca="1" ref="Y105" ca="1">IF(AND($B105=Y$93,$B105=$B106-1),NPV(real_discount_rate,OFFSET(Y66,,,,COUNTA($C$54:$BB$54)-COUNTA($C$54:Y$54)+1)-OFFSET(Y67,,,,COUNTA($C$54:$BB$54)-COUNTA($C$54:Y$54)+1))*(1+real_discount_rate),IF($B105=Y$2,Y$6,0))</f>
        <v>0</v>
      </c>
      <c r="Z105" s="180" cm="1">
        <f t="array" aca="1" ref="Z105" ca="1">IF(AND($B105=Z$93,$B105=$B106-1),NPV(real_discount_rate,OFFSET(Z66,,,,COUNTA($C$54:$BB$54)-COUNTA($C$54:Z$54)+1)-OFFSET(Z67,,,,COUNTA($C$54:$BB$54)-COUNTA($C$54:Z$54)+1))*(1+real_discount_rate),IF($B105=Z$2,Z$6,0))</f>
        <v>0</v>
      </c>
      <c r="AA105" s="180" cm="1">
        <f t="array" aca="1" ref="AA105" ca="1">IF(AND($B105=AA$93,$B105=$B106-1),NPV(real_discount_rate,OFFSET(AA66,,,,COUNTA($C$54:$BB$54)-COUNTA($C$54:AA$54)+1)-OFFSET(AA67,,,,COUNTA($C$54:$BB$54)-COUNTA($C$54:AA$54)+1))*(1+real_discount_rate),IF($B105=AA$2,AA$6,0))</f>
        <v>0</v>
      </c>
      <c r="AB105" s="180" cm="1">
        <f t="array" aca="1" ref="AB105" ca="1">IF(AND($B105=AB$93,$B105=$B106-1),NPV(real_discount_rate,OFFSET(AB66,,,,COUNTA($C$54:$BB$54)-COUNTA($C$54:AB$54)+1)-OFFSET(AB67,,,,COUNTA($C$54:$BB$54)-COUNTA($C$54:AB$54)+1))*(1+real_discount_rate),IF($B105=AB$2,AB$6,0))</f>
        <v>0</v>
      </c>
      <c r="AC105" s="180" cm="1">
        <f t="array" aca="1" ref="AC105" ca="1">IF(AND($B105=AC$93,$B105=$B106-1),NPV(real_discount_rate,OFFSET(AC66,,,,COUNTA($C$54:$BB$54)-COUNTA($C$54:AC$54)+1)-OFFSET(AC67,,,,COUNTA($C$54:$BB$54)-COUNTA($C$54:AC$54)+1))*(1+real_discount_rate),IF($B105=AC$2,AC$6,0))</f>
        <v>0</v>
      </c>
      <c r="AD105" s="180" cm="1">
        <f t="array" aca="1" ref="AD105" ca="1">IF(AND($B105=AD$93,$B105=$B106-1),NPV(real_discount_rate,OFFSET(AD66,,,,COUNTA($C$54:$BB$54)-COUNTA($C$54:AD$54)+1)-OFFSET(AD67,,,,COUNTA($C$54:$BB$54)-COUNTA($C$54:AD$54)+1))*(1+real_discount_rate),IF($B105=AD$2,AD$6,0))</f>
        <v>0</v>
      </c>
      <c r="AE105" s="180" cm="1">
        <f t="array" aca="1" ref="AE105" ca="1">IF(AND($B105=AE$93,$B105=$B106-1),NPV(real_discount_rate,OFFSET(AE66,,,,COUNTA($C$54:$BB$54)-COUNTA($C$54:AE$54)+1)-OFFSET(AE67,,,,COUNTA($C$54:$BB$54)-COUNTA($C$54:AE$54)+1))*(1+real_discount_rate),IF($B105=AE$2,AE$6,0))</f>
        <v>0</v>
      </c>
      <c r="AF105" s="180" cm="1">
        <f t="array" aca="1" ref="AF105" ca="1">IF(AND($B105=AF$93,$B105=$B106-1),NPV(real_discount_rate,OFFSET(AF66,,,,COUNTA($C$54:$BB$54)-COUNTA($C$54:AF$54)+1)-OFFSET(AF67,,,,COUNTA($C$54:$BB$54)-COUNTA($C$54:AF$54)+1))*(1+real_discount_rate),IF($B105=AF$2,AF$6,0))</f>
        <v>0</v>
      </c>
      <c r="AG105" s="180" cm="1">
        <f t="array" aca="1" ref="AG105" ca="1">IF(AND($B105=AG$93,$B105=$B106-1),NPV(real_discount_rate,OFFSET(AG66,,,,COUNTA($C$54:$BB$54)-COUNTA($C$54:AG$54)+1)-OFFSET(AG67,,,,COUNTA($C$54:$BB$54)-COUNTA($C$54:AG$54)+1))*(1+real_discount_rate),IF($B105=AG$2,AG$6,0))</f>
        <v>0</v>
      </c>
      <c r="AH105" s="649" cm="1">
        <f t="array" aca="1" ref="AH105" ca="1">IF(AND($B105=AH$93,$B105=$B106-1),NPV(real_discount_rate,OFFSET(AH66,,,,COUNTA($C$54:$BB$54)-COUNTA($C$54:AH$54)+1)-OFFSET(AH67,,,,COUNTA($C$54:$BB$54)-COUNTA($C$54:AH$54)+1))*(1+real_discount_rate),IF($B105=AH$2,AH$6,0))</f>
        <v>0</v>
      </c>
      <c r="AI105" s="653"/>
      <c r="AJ105" s="653"/>
      <c r="AK105" s="653"/>
      <c r="AL105" s="653"/>
      <c r="AM105" s="653"/>
      <c r="AN105" s="653"/>
      <c r="AO105" s="653"/>
      <c r="AP105" s="653"/>
      <c r="AQ105" s="653"/>
      <c r="AR105" s="653"/>
      <c r="AS105" s="653"/>
      <c r="AT105" s="653"/>
      <c r="AU105" s="653"/>
      <c r="AV105" s="653"/>
      <c r="AW105" s="653"/>
      <c r="AX105" s="653"/>
      <c r="AY105" s="653"/>
      <c r="AZ105" s="653"/>
      <c r="BA105" s="653"/>
      <c r="BB105" s="182"/>
      <c r="BC105" s="410"/>
    </row>
    <row r="106" spans="2:55" x14ac:dyDescent="0.3">
      <c r="B106" s="28">
        <v>2033</v>
      </c>
      <c r="C106" s="179" cm="1">
        <f t="array" aca="1" ref="C106" ca="1">IF(AND($B106=C$93,$B106=$B107-1),NPV(real_discount_rate,OFFSET(C67,,,,COUNTA($C$54:$BB$54)-COUNTA($C$54:C$54)+1)-OFFSET(C68,,,,COUNTA($C$54:$BB$54)-COUNTA($C$54:C$54)+1))*(1+real_discount_rate),IF($B106=C$2,C$6,0))</f>
        <v>0</v>
      </c>
      <c r="D106" s="180" cm="1">
        <f t="array" aca="1" ref="D106" ca="1">IF(AND($B106=D$93,$B106=$B107-1),NPV(real_discount_rate,OFFSET(D67,,,,COUNTA($C$54:$BB$54)-COUNTA($C$54:D$54)+1)-OFFSET(D68,,,,COUNTA($C$54:$BB$54)-COUNTA($C$54:D$54)+1))*(1+real_discount_rate),IF($B106=D$2,D$6,0))</f>
        <v>0</v>
      </c>
      <c r="E106" s="180" cm="1">
        <f t="array" aca="1" ref="E106" ca="1">IF(AND($B106=E$93,$B106=$B107-1),NPV(real_discount_rate,OFFSET(E67,,,,COUNTA($C$54:$BB$54)-COUNTA($C$54:E$54)+1)-OFFSET(E68,,,,COUNTA($C$54:$BB$54)-COUNTA($C$54:E$54)+1))*(1+real_discount_rate),IF($B106=E$2,E$6,0))</f>
        <v>0</v>
      </c>
      <c r="F106" s="180" cm="1">
        <f t="array" aca="1" ref="F106" ca="1">IF(AND($B106=F$93,$B106=$B107-1),NPV(real_discount_rate,OFFSET(F67,,,,COUNTA($C$54:$BB$54)-COUNTA($C$54:F$54)+1)-OFFSET(F68,,,,COUNTA($C$54:$BB$54)-COUNTA($C$54:F$54)+1))*(1+real_discount_rate),IF($B106=F$2,F$6,0))</f>
        <v>0</v>
      </c>
      <c r="G106" s="180" cm="1">
        <f t="array" aca="1" ref="G106" ca="1">IF(AND($B106=G$93,$B106=$B107-1),NPV(real_discount_rate,OFFSET(G67,,,,COUNTA($C$54:$BB$54)-COUNTA($C$54:G$54)+1)-OFFSET(G68,,,,COUNTA($C$54:$BB$54)-COUNTA($C$54:G$54)+1))*(1+real_discount_rate),IF($B106=G$2,G$6,0))</f>
        <v>0</v>
      </c>
      <c r="H106" s="180" cm="1">
        <f t="array" aca="1" ref="H106" ca="1">IF(AND($B106=H$93,$B106=$B107-1),NPV(real_discount_rate,OFFSET(H67,,,,COUNTA($C$54:$BB$54)-COUNTA($C$54:H$54)+1)-OFFSET(H68,,,,COUNTA($C$54:$BB$54)-COUNTA($C$54:H$54)+1))*(1+real_discount_rate),IF($B106=H$2,H$6,0))</f>
        <v>0</v>
      </c>
      <c r="I106" s="180" cm="1">
        <f t="array" aca="1" ref="I106" ca="1">IF(AND($B106=I$93,$B106=$B107-1),NPV(real_discount_rate,OFFSET(I67,,,,COUNTA($C$54:$BB$54)-COUNTA($C$54:I$54)+1)-OFFSET(I68,,,,COUNTA($C$54:$BB$54)-COUNTA($C$54:I$54)+1))*(1+real_discount_rate),IF($B106=I$2,I$6,0))</f>
        <v>0</v>
      </c>
      <c r="J106" s="180" cm="1">
        <f t="array" aca="1" ref="J106" ca="1">IF(AND($B106=J$93,$B106=$B107-1),NPV(real_discount_rate,OFFSET(J67,,,,COUNTA($C$54:$BB$54)-COUNTA($C$54:J$54)+1)-OFFSET(J68,,,,COUNTA($C$54:$BB$54)-COUNTA($C$54:J$54)+1))*(1+real_discount_rate),IF($B106=J$2,J$6,0))</f>
        <v>0</v>
      </c>
      <c r="K106" s="180" cm="1">
        <f t="array" aca="1" ref="K106" ca="1">IF(AND($B106=K$93,$B106=$B107-1),NPV(real_discount_rate,OFFSET(K67,,,,COUNTA($C$54:$BB$54)-COUNTA($C$54:K$54)+1)-OFFSET(K68,,,,COUNTA($C$54:$BB$54)-COUNTA($C$54:K$54)+1))*(1+real_discount_rate),IF($B106=K$2,K$6,0))</f>
        <v>0</v>
      </c>
      <c r="L106" s="180" cm="1">
        <f t="array" aca="1" ref="L106" ca="1">IF(AND($B106=L$93,$B106=$B107-1),NPV(real_discount_rate,OFFSET(L67,,,,COUNTA($C$54:$BB$54)-COUNTA($C$54:L$54)+1)-OFFSET(L68,,,,COUNTA($C$54:$BB$54)-COUNTA($C$54:L$54)+1))*(1+real_discount_rate),IF($B106=L$2,L$6,0))</f>
        <v>0</v>
      </c>
      <c r="M106" s="180" cm="1">
        <f t="array" aca="1" ref="M106" ca="1">IF(AND($B106=M$93,$B106=$B107-1),NPV(real_discount_rate,OFFSET(M67,,,,COUNTA($C$54:$BB$54)-COUNTA($C$54:M$54)+1)-OFFSET(M68,,,,COUNTA($C$54:$BB$54)-COUNTA($C$54:M$54)+1))*(1+real_discount_rate),IF($B106=M$2,M$6,0))</f>
        <v>0</v>
      </c>
      <c r="N106" s="180" cm="1">
        <f t="array" aca="1" ref="N106" ca="1">IF(AND($B106=N$93,$B106=$B107-1),NPV(real_discount_rate,OFFSET(N67,,,,COUNTA($C$54:$BB$54)-COUNTA($C$54:N$54)+1)-OFFSET(N68,,,,COUNTA($C$54:$BB$54)-COUNTA($C$54:N$54)+1))*(1+real_discount_rate),IF($B106=N$2,N$6,0))</f>
        <v>0</v>
      </c>
      <c r="O106" s="180" cm="1">
        <f t="array" aca="1" ref="O106" ca="1">IF(AND($B106=O$93,$B106=$B107-1),NPV(real_discount_rate,OFFSET(O67,,,,COUNTA($C$54:$BB$54)-COUNTA($C$54:O$54)+1)-OFFSET(O68,,,,COUNTA($C$54:$BB$54)-COUNTA($C$54:O$54)+1))*(1+real_discount_rate),IF($B106=O$2,O$6,0))</f>
        <v>73.953590964531912</v>
      </c>
      <c r="P106" s="180" cm="1">
        <f t="array" aca="1" ref="P106" ca="1">IF(AND($B106=P$93,$B106=$B107-1),NPV(real_discount_rate,OFFSET(P67,,,,COUNTA($C$54:$BB$54)-COUNTA($C$54:P$54)+1)-OFFSET(P68,,,,COUNTA($C$54:$BB$54)-COUNTA($C$54:P$54)+1))*(1+real_discount_rate),IF($B106=P$2,P$6,0))</f>
        <v>0</v>
      </c>
      <c r="Q106" s="180" cm="1">
        <f t="array" aca="1" ref="Q106" ca="1">IF(AND($B106=Q$93,$B106=$B107-1),NPV(real_discount_rate,OFFSET(Q67,,,,COUNTA($C$54:$BB$54)-COUNTA($C$54:Q$54)+1)-OFFSET(Q68,,,,COUNTA($C$54:$BB$54)-COUNTA($C$54:Q$54)+1))*(1+real_discount_rate),IF($B106=Q$2,Q$6,0))</f>
        <v>0</v>
      </c>
      <c r="R106" s="180" cm="1">
        <f t="array" aca="1" ref="R106" ca="1">IF(AND($B106=R$93,$B106=$B107-1),NPV(real_discount_rate,OFFSET(R67,,,,COUNTA($C$54:$BB$54)-COUNTA($C$54:R$54)+1)-OFFSET(R68,,,,COUNTA($C$54:$BB$54)-COUNTA($C$54:R$54)+1))*(1+real_discount_rate),IF($B106=R$2,R$6,0))</f>
        <v>0</v>
      </c>
      <c r="S106" s="180" cm="1">
        <f t="array" aca="1" ref="S106" ca="1">IF(AND($B106=S$93,$B106=$B107-1),NPV(real_discount_rate,OFFSET(S67,,,,COUNTA($C$54:$BB$54)-COUNTA($C$54:S$54)+1)-OFFSET(S68,,,,COUNTA($C$54:$BB$54)-COUNTA($C$54:S$54)+1))*(1+real_discount_rate),IF($B106=S$2,S$6,0))</f>
        <v>0</v>
      </c>
      <c r="T106" s="180" cm="1">
        <f t="array" aca="1" ref="T106" ca="1">IF(AND($B106=T$93,$B106=$B107-1),NPV(real_discount_rate,OFFSET(T67,,,,COUNTA($C$54:$BB$54)-COUNTA($C$54:T$54)+1)-OFFSET(T68,,,,COUNTA($C$54:$BB$54)-COUNTA($C$54:T$54)+1))*(1+real_discount_rate),IF($B106=T$2,T$6,0))</f>
        <v>0</v>
      </c>
      <c r="U106" s="180" cm="1">
        <f t="array" aca="1" ref="U106" ca="1">IF(AND($B106=U$93,$B106=$B107-1),NPV(real_discount_rate,OFFSET(U67,,,,COUNTA($C$54:$BB$54)-COUNTA($C$54:U$54)+1)-OFFSET(U68,,,,COUNTA($C$54:$BB$54)-COUNTA($C$54:U$54)+1))*(1+real_discount_rate),IF($B106=U$2,U$6,0))</f>
        <v>0</v>
      </c>
      <c r="V106" s="180" cm="1">
        <f t="array" aca="1" ref="V106" ca="1">IF(AND($B106=V$93,$B106=$B107-1),NPV(real_discount_rate,OFFSET(V67,,,,COUNTA($C$54:$BB$54)-COUNTA($C$54:V$54)+1)-OFFSET(V68,,,,COUNTA($C$54:$BB$54)-COUNTA($C$54:V$54)+1))*(1+real_discount_rate),IF($B106=V$2,V$6,0))</f>
        <v>0</v>
      </c>
      <c r="W106" s="180" cm="1">
        <f t="array" aca="1" ref="W106" ca="1">IF(AND($B106=W$93,$B106=$B107-1),NPV(real_discount_rate,OFFSET(W67,,,,COUNTA($C$54:$BB$54)-COUNTA($C$54:W$54)+1)-OFFSET(W68,,,,COUNTA($C$54:$BB$54)-COUNTA($C$54:W$54)+1))*(1+real_discount_rate),IF($B106=W$2,W$6,0))</f>
        <v>0</v>
      </c>
      <c r="X106" s="180" cm="1">
        <f t="array" aca="1" ref="X106" ca="1">IF(AND($B106=X$93,$B106=$B107-1),NPV(real_discount_rate,OFFSET(X67,,,,COUNTA($C$54:$BB$54)-COUNTA($C$54:X$54)+1)-OFFSET(X68,,,,COUNTA($C$54:$BB$54)-COUNTA($C$54:X$54)+1))*(1+real_discount_rate),IF($B106=X$2,X$6,0))</f>
        <v>0</v>
      </c>
      <c r="Y106" s="180" cm="1">
        <f t="array" aca="1" ref="Y106" ca="1">IF(AND($B106=Y$93,$B106=$B107-1),NPV(real_discount_rate,OFFSET(Y67,,,,COUNTA($C$54:$BB$54)-COUNTA($C$54:Y$54)+1)-OFFSET(Y68,,,,COUNTA($C$54:$BB$54)-COUNTA($C$54:Y$54)+1))*(1+real_discount_rate),IF($B106=Y$2,Y$6,0))</f>
        <v>0</v>
      </c>
      <c r="Z106" s="180" cm="1">
        <f t="array" aca="1" ref="Z106" ca="1">IF(AND($B106=Z$93,$B106=$B107-1),NPV(real_discount_rate,OFFSET(Z67,,,,COUNTA($C$54:$BB$54)-COUNTA($C$54:Z$54)+1)-OFFSET(Z68,,,,COUNTA($C$54:$BB$54)-COUNTA($C$54:Z$54)+1))*(1+real_discount_rate),IF($B106=Z$2,Z$6,0))</f>
        <v>0</v>
      </c>
      <c r="AA106" s="180" cm="1">
        <f t="array" aca="1" ref="AA106" ca="1">IF(AND($B106=AA$93,$B106=$B107-1),NPV(real_discount_rate,OFFSET(AA67,,,,COUNTA($C$54:$BB$54)-COUNTA($C$54:AA$54)+1)-OFFSET(AA68,,,,COUNTA($C$54:$BB$54)-COUNTA($C$54:AA$54)+1))*(1+real_discount_rate),IF($B106=AA$2,AA$6,0))</f>
        <v>0</v>
      </c>
      <c r="AB106" s="180" cm="1">
        <f t="array" aca="1" ref="AB106" ca="1">IF(AND($B106=AB$93,$B106=$B107-1),NPV(real_discount_rate,OFFSET(AB67,,,,COUNTA($C$54:$BB$54)-COUNTA($C$54:AB$54)+1)-OFFSET(AB68,,,,COUNTA($C$54:$BB$54)-COUNTA($C$54:AB$54)+1))*(1+real_discount_rate),IF($B106=AB$2,AB$6,0))</f>
        <v>0</v>
      </c>
      <c r="AC106" s="180" cm="1">
        <f t="array" aca="1" ref="AC106" ca="1">IF(AND($B106=AC$93,$B106=$B107-1),NPV(real_discount_rate,OFFSET(AC67,,,,COUNTA($C$54:$BB$54)-COUNTA($C$54:AC$54)+1)-OFFSET(AC68,,,,COUNTA($C$54:$BB$54)-COUNTA($C$54:AC$54)+1))*(1+real_discount_rate),IF($B106=AC$2,AC$6,0))</f>
        <v>0</v>
      </c>
      <c r="AD106" s="180" cm="1">
        <f t="array" aca="1" ref="AD106" ca="1">IF(AND($B106=AD$93,$B106=$B107-1),NPV(real_discount_rate,OFFSET(AD67,,,,COUNTA($C$54:$BB$54)-COUNTA($C$54:AD$54)+1)-OFFSET(AD68,,,,COUNTA($C$54:$BB$54)-COUNTA($C$54:AD$54)+1))*(1+real_discount_rate),IF($B106=AD$2,AD$6,0))</f>
        <v>0</v>
      </c>
      <c r="AE106" s="180" cm="1">
        <f t="array" aca="1" ref="AE106" ca="1">IF(AND($B106=AE$93,$B106=$B107-1),NPV(real_discount_rate,OFFSET(AE67,,,,COUNTA($C$54:$BB$54)-COUNTA($C$54:AE$54)+1)-OFFSET(AE68,,,,COUNTA($C$54:$BB$54)-COUNTA($C$54:AE$54)+1))*(1+real_discount_rate),IF($B106=AE$2,AE$6,0))</f>
        <v>0</v>
      </c>
      <c r="AF106" s="180" cm="1">
        <f t="array" aca="1" ref="AF106" ca="1">IF(AND($B106=AF$93,$B106=$B107-1),NPV(real_discount_rate,OFFSET(AF67,,,,COUNTA($C$54:$BB$54)-COUNTA($C$54:AF$54)+1)-OFFSET(AF68,,,,COUNTA($C$54:$BB$54)-COUNTA($C$54:AF$54)+1))*(1+real_discount_rate),IF($B106=AF$2,AF$6,0))</f>
        <v>0</v>
      </c>
      <c r="AG106" s="180" cm="1">
        <f t="array" aca="1" ref="AG106" ca="1">IF(AND($B106=AG$93,$B106=$B107-1),NPV(real_discount_rate,OFFSET(AG67,,,,COUNTA($C$54:$BB$54)-COUNTA($C$54:AG$54)+1)-OFFSET(AG68,,,,COUNTA($C$54:$BB$54)-COUNTA($C$54:AG$54)+1))*(1+real_discount_rate),IF($B106=AG$2,AG$6,0))</f>
        <v>0</v>
      </c>
      <c r="AH106" s="649" cm="1">
        <f t="array" aca="1" ref="AH106" ca="1">IF(AND($B106=AH$93,$B106=$B107-1),NPV(real_discount_rate,OFFSET(AH67,,,,COUNTA($C$54:$BB$54)-COUNTA($C$54:AH$54)+1)-OFFSET(AH68,,,,COUNTA($C$54:$BB$54)-COUNTA($C$54:AH$54)+1))*(1+real_discount_rate),IF($B106=AH$2,AH$6,0))</f>
        <v>0</v>
      </c>
      <c r="AI106" s="653"/>
      <c r="AJ106" s="653"/>
      <c r="AK106" s="653"/>
      <c r="AL106" s="653"/>
      <c r="AM106" s="653"/>
      <c r="AN106" s="653"/>
      <c r="AO106" s="653"/>
      <c r="AP106" s="653"/>
      <c r="AQ106" s="653"/>
      <c r="AR106" s="653"/>
      <c r="AS106" s="653"/>
      <c r="AT106" s="653"/>
      <c r="AU106" s="653"/>
      <c r="AV106" s="653"/>
      <c r="AW106" s="653"/>
      <c r="AX106" s="653"/>
      <c r="AY106" s="653"/>
      <c r="AZ106" s="653"/>
      <c r="BA106" s="653"/>
      <c r="BB106" s="182"/>
      <c r="BC106" s="410"/>
    </row>
    <row r="107" spans="2:55" x14ac:dyDescent="0.3">
      <c r="B107" s="28">
        <v>2034</v>
      </c>
      <c r="C107" s="179" cm="1">
        <f t="array" aca="1" ref="C107" ca="1">IF(AND($B107=C$93,$B107=$B108-1),NPV(real_discount_rate,OFFSET(C68,,,,COUNTA($C$54:$BB$54)-COUNTA($C$54:C$54)+1)-OFFSET(C69,,,,COUNTA($C$54:$BB$54)-COUNTA($C$54:C$54)+1))*(1+real_discount_rate),IF($B107=C$2,C$6,0))</f>
        <v>0</v>
      </c>
      <c r="D107" s="180" cm="1">
        <f t="array" aca="1" ref="D107" ca="1">IF(AND($B107=D$93,$B107=$B108-1),NPV(real_discount_rate,OFFSET(D68,,,,COUNTA($C$54:$BB$54)-COUNTA($C$54:D$54)+1)-OFFSET(D69,,,,COUNTA($C$54:$BB$54)-COUNTA($C$54:D$54)+1))*(1+real_discount_rate),IF($B107=D$2,D$6,0))</f>
        <v>0</v>
      </c>
      <c r="E107" s="180" cm="1">
        <f t="array" aca="1" ref="E107" ca="1">IF(AND($B107=E$93,$B107=$B108-1),NPV(real_discount_rate,OFFSET(E68,,,,COUNTA($C$54:$BB$54)-COUNTA($C$54:E$54)+1)-OFFSET(E69,,,,COUNTA($C$54:$BB$54)-COUNTA($C$54:E$54)+1))*(1+real_discount_rate),IF($B107=E$2,E$6,0))</f>
        <v>0</v>
      </c>
      <c r="F107" s="180" cm="1">
        <f t="array" aca="1" ref="F107" ca="1">IF(AND($B107=F$93,$B107=$B108-1),NPV(real_discount_rate,OFFSET(F68,,,,COUNTA($C$54:$BB$54)-COUNTA($C$54:F$54)+1)-OFFSET(F69,,,,COUNTA($C$54:$BB$54)-COUNTA($C$54:F$54)+1))*(1+real_discount_rate),IF($B107=F$2,F$6,0))</f>
        <v>0</v>
      </c>
      <c r="G107" s="180" cm="1">
        <f t="array" aca="1" ref="G107" ca="1">IF(AND($B107=G$93,$B107=$B108-1),NPV(real_discount_rate,OFFSET(G68,,,,COUNTA($C$54:$BB$54)-COUNTA($C$54:G$54)+1)-OFFSET(G69,,,,COUNTA($C$54:$BB$54)-COUNTA($C$54:G$54)+1))*(1+real_discount_rate),IF($B107=G$2,G$6,0))</f>
        <v>0</v>
      </c>
      <c r="H107" s="180" cm="1">
        <f t="array" aca="1" ref="H107" ca="1">IF(AND($B107=H$93,$B107=$B108-1),NPV(real_discount_rate,OFFSET(H68,,,,COUNTA($C$54:$BB$54)-COUNTA($C$54:H$54)+1)-OFFSET(H69,,,,COUNTA($C$54:$BB$54)-COUNTA($C$54:H$54)+1))*(1+real_discount_rate),IF($B107=H$2,H$6,0))</f>
        <v>0</v>
      </c>
      <c r="I107" s="180" cm="1">
        <f t="array" aca="1" ref="I107" ca="1">IF(AND($B107=I$93,$B107=$B108-1),NPV(real_discount_rate,OFFSET(I68,,,,COUNTA($C$54:$BB$54)-COUNTA($C$54:I$54)+1)-OFFSET(I69,,,,COUNTA($C$54:$BB$54)-COUNTA($C$54:I$54)+1))*(1+real_discount_rate),IF($B107=I$2,I$6,0))</f>
        <v>0</v>
      </c>
      <c r="J107" s="180" cm="1">
        <f t="array" aca="1" ref="J107" ca="1">IF(AND($B107=J$93,$B107=$B108-1),NPV(real_discount_rate,OFFSET(J68,,,,COUNTA($C$54:$BB$54)-COUNTA($C$54:J$54)+1)-OFFSET(J69,,,,COUNTA($C$54:$BB$54)-COUNTA($C$54:J$54)+1))*(1+real_discount_rate),IF($B107=J$2,J$6,0))</f>
        <v>0</v>
      </c>
      <c r="K107" s="180" cm="1">
        <f t="array" aca="1" ref="K107" ca="1">IF(AND($B107=K$93,$B107=$B108-1),NPV(real_discount_rate,OFFSET(K68,,,,COUNTA($C$54:$BB$54)-COUNTA($C$54:K$54)+1)-OFFSET(K69,,,,COUNTA($C$54:$BB$54)-COUNTA($C$54:K$54)+1))*(1+real_discount_rate),IF($B107=K$2,K$6,0))</f>
        <v>0</v>
      </c>
      <c r="L107" s="180" cm="1">
        <f t="array" aca="1" ref="L107" ca="1">IF(AND($B107=L$93,$B107=$B108-1),NPV(real_discount_rate,OFFSET(L68,,,,COUNTA($C$54:$BB$54)-COUNTA($C$54:L$54)+1)-OFFSET(L69,,,,COUNTA($C$54:$BB$54)-COUNTA($C$54:L$54)+1))*(1+real_discount_rate),IF($B107=L$2,L$6,0))</f>
        <v>0</v>
      </c>
      <c r="M107" s="180" cm="1">
        <f t="array" aca="1" ref="M107" ca="1">IF(AND($B107=M$93,$B107=$B108-1),NPV(real_discount_rate,OFFSET(M68,,,,COUNTA($C$54:$BB$54)-COUNTA($C$54:M$54)+1)-OFFSET(M69,,,,COUNTA($C$54:$BB$54)-COUNTA($C$54:M$54)+1))*(1+real_discount_rate),IF($B107=M$2,M$6,0))</f>
        <v>0</v>
      </c>
      <c r="N107" s="180" cm="1">
        <f t="array" aca="1" ref="N107" ca="1">IF(AND($B107=N$93,$B107=$B108-1),NPV(real_discount_rate,OFFSET(N68,,,,COUNTA($C$54:$BB$54)-COUNTA($C$54:N$54)+1)-OFFSET(N69,,,,COUNTA($C$54:$BB$54)-COUNTA($C$54:N$54)+1))*(1+real_discount_rate),IF($B107=N$2,N$6,0))</f>
        <v>0</v>
      </c>
      <c r="O107" s="180" cm="1">
        <f t="array" aca="1" ref="O107" ca="1">IF(AND($B107=O$93,$B107=$B108-1),NPV(real_discount_rate,OFFSET(O68,,,,COUNTA($C$54:$BB$54)-COUNTA($C$54:O$54)+1)-OFFSET(O69,,,,COUNTA($C$54:$BB$54)-COUNTA($C$54:O$54)+1))*(1+real_discount_rate),IF($B107=O$2,O$6,0))</f>
        <v>0</v>
      </c>
      <c r="P107" s="180" cm="1">
        <f t="array" aca="1" ref="P107" ca="1">IF(AND($B107=P$93,$B107=$B108-1),NPV(real_discount_rate,OFFSET(P68,,,,COUNTA($C$54:$BB$54)-COUNTA($C$54:P$54)+1)-OFFSET(P69,,,,COUNTA($C$54:$BB$54)-COUNTA($C$54:P$54)+1))*(1+real_discount_rate),IF($B107=P$2,P$6,0))</f>
        <v>77.908231950381023</v>
      </c>
      <c r="Q107" s="180" cm="1">
        <f t="array" aca="1" ref="Q107" ca="1">IF(AND($B107=Q$93,$B107=$B108-1),NPV(real_discount_rate,OFFSET(Q68,,,,COUNTA($C$54:$BB$54)-COUNTA($C$54:Q$54)+1)-OFFSET(Q69,,,,COUNTA($C$54:$BB$54)-COUNTA($C$54:Q$54)+1))*(1+real_discount_rate),IF($B107=Q$2,Q$6,0))</f>
        <v>0</v>
      </c>
      <c r="R107" s="180" cm="1">
        <f t="array" aca="1" ref="R107" ca="1">IF(AND($B107=R$93,$B107=$B108-1),NPV(real_discount_rate,OFFSET(R68,,,,COUNTA($C$54:$BB$54)-COUNTA($C$54:R$54)+1)-OFFSET(R69,,,,COUNTA($C$54:$BB$54)-COUNTA($C$54:R$54)+1))*(1+real_discount_rate),IF($B107=R$2,R$6,0))</f>
        <v>0</v>
      </c>
      <c r="S107" s="180" cm="1">
        <f t="array" aca="1" ref="S107" ca="1">IF(AND($B107=S$93,$B107=$B108-1),NPV(real_discount_rate,OFFSET(S68,,,,COUNTA($C$54:$BB$54)-COUNTA($C$54:S$54)+1)-OFFSET(S69,,,,COUNTA($C$54:$BB$54)-COUNTA($C$54:S$54)+1))*(1+real_discount_rate),IF($B107=S$2,S$6,0))</f>
        <v>0</v>
      </c>
      <c r="T107" s="180" cm="1">
        <f t="array" aca="1" ref="T107" ca="1">IF(AND($B107=T$93,$B107=$B108-1),NPV(real_discount_rate,OFFSET(T68,,,,COUNTA($C$54:$BB$54)-COUNTA($C$54:T$54)+1)-OFFSET(T69,,,,COUNTA($C$54:$BB$54)-COUNTA($C$54:T$54)+1))*(1+real_discount_rate),IF($B107=T$2,T$6,0))</f>
        <v>0</v>
      </c>
      <c r="U107" s="180" cm="1">
        <f t="array" aca="1" ref="U107" ca="1">IF(AND($B107=U$93,$B107=$B108-1),NPV(real_discount_rate,OFFSET(U68,,,,COUNTA($C$54:$BB$54)-COUNTA($C$54:U$54)+1)-OFFSET(U69,,,,COUNTA($C$54:$BB$54)-COUNTA($C$54:U$54)+1))*(1+real_discount_rate),IF($B107=U$2,U$6,0))</f>
        <v>0</v>
      </c>
      <c r="V107" s="180" cm="1">
        <f t="array" aca="1" ref="V107" ca="1">IF(AND($B107=V$93,$B107=$B108-1),NPV(real_discount_rate,OFFSET(V68,,,,COUNTA($C$54:$BB$54)-COUNTA($C$54:V$54)+1)-OFFSET(V69,,,,COUNTA($C$54:$BB$54)-COUNTA($C$54:V$54)+1))*(1+real_discount_rate),IF($B107=V$2,V$6,0))</f>
        <v>0</v>
      </c>
      <c r="W107" s="180" cm="1">
        <f t="array" aca="1" ref="W107" ca="1">IF(AND($B107=W$93,$B107=$B108-1),NPV(real_discount_rate,OFFSET(W68,,,,COUNTA($C$54:$BB$54)-COUNTA($C$54:W$54)+1)-OFFSET(W69,,,,COUNTA($C$54:$BB$54)-COUNTA($C$54:W$54)+1))*(1+real_discount_rate),IF($B107=W$2,W$6,0))</f>
        <v>0</v>
      </c>
      <c r="X107" s="180" cm="1">
        <f t="array" aca="1" ref="X107" ca="1">IF(AND($B107=X$93,$B107=$B108-1),NPV(real_discount_rate,OFFSET(X68,,,,COUNTA($C$54:$BB$54)-COUNTA($C$54:X$54)+1)-OFFSET(X69,,,,COUNTA($C$54:$BB$54)-COUNTA($C$54:X$54)+1))*(1+real_discount_rate),IF($B107=X$2,X$6,0))</f>
        <v>0</v>
      </c>
      <c r="Y107" s="180" cm="1">
        <f t="array" aca="1" ref="Y107" ca="1">IF(AND($B107=Y$93,$B107=$B108-1),NPV(real_discount_rate,OFFSET(Y68,,,,COUNTA($C$54:$BB$54)-COUNTA($C$54:Y$54)+1)-OFFSET(Y69,,,,COUNTA($C$54:$BB$54)-COUNTA($C$54:Y$54)+1))*(1+real_discount_rate),IF($B107=Y$2,Y$6,0))</f>
        <v>0</v>
      </c>
      <c r="Z107" s="180" cm="1">
        <f t="array" aca="1" ref="Z107" ca="1">IF(AND($B107=Z$93,$B107=$B108-1),NPV(real_discount_rate,OFFSET(Z68,,,,COUNTA($C$54:$BB$54)-COUNTA($C$54:Z$54)+1)-OFFSET(Z69,,,,COUNTA($C$54:$BB$54)-COUNTA($C$54:Z$54)+1))*(1+real_discount_rate),IF($B107=Z$2,Z$6,0))</f>
        <v>0</v>
      </c>
      <c r="AA107" s="180" cm="1">
        <f t="array" aca="1" ref="AA107" ca="1">IF(AND($B107=AA$93,$B107=$B108-1),NPV(real_discount_rate,OFFSET(AA68,,,,COUNTA($C$54:$BB$54)-COUNTA($C$54:AA$54)+1)-OFFSET(AA69,,,,COUNTA($C$54:$BB$54)-COUNTA($C$54:AA$54)+1))*(1+real_discount_rate),IF($B107=AA$2,AA$6,0))</f>
        <v>0</v>
      </c>
      <c r="AB107" s="180" cm="1">
        <f t="array" aca="1" ref="AB107" ca="1">IF(AND($B107=AB$93,$B107=$B108-1),NPV(real_discount_rate,OFFSET(AB68,,,,COUNTA($C$54:$BB$54)-COUNTA($C$54:AB$54)+1)-OFFSET(AB69,,,,COUNTA($C$54:$BB$54)-COUNTA($C$54:AB$54)+1))*(1+real_discount_rate),IF($B107=AB$2,AB$6,0))</f>
        <v>0</v>
      </c>
      <c r="AC107" s="180" cm="1">
        <f t="array" aca="1" ref="AC107" ca="1">IF(AND($B107=AC$93,$B107=$B108-1),NPV(real_discount_rate,OFFSET(AC68,,,,COUNTA($C$54:$BB$54)-COUNTA($C$54:AC$54)+1)-OFFSET(AC69,,,,COUNTA($C$54:$BB$54)-COUNTA($C$54:AC$54)+1))*(1+real_discount_rate),IF($B107=AC$2,AC$6,0))</f>
        <v>0</v>
      </c>
      <c r="AD107" s="180" cm="1">
        <f t="array" aca="1" ref="AD107" ca="1">IF(AND($B107=AD$93,$B107=$B108-1),NPV(real_discount_rate,OFFSET(AD68,,,,COUNTA($C$54:$BB$54)-COUNTA($C$54:AD$54)+1)-OFFSET(AD69,,,,COUNTA($C$54:$BB$54)-COUNTA($C$54:AD$54)+1))*(1+real_discount_rate),IF($B107=AD$2,AD$6,0))</f>
        <v>0</v>
      </c>
      <c r="AE107" s="180" cm="1">
        <f t="array" aca="1" ref="AE107" ca="1">IF(AND($B107=AE$93,$B107=$B108-1),NPV(real_discount_rate,OFFSET(AE68,,,,COUNTA($C$54:$BB$54)-COUNTA($C$54:AE$54)+1)-OFFSET(AE69,,,,COUNTA($C$54:$BB$54)-COUNTA($C$54:AE$54)+1))*(1+real_discount_rate),IF($B107=AE$2,AE$6,0))</f>
        <v>0</v>
      </c>
      <c r="AF107" s="180" cm="1">
        <f t="array" aca="1" ref="AF107" ca="1">IF(AND($B107=AF$93,$B107=$B108-1),NPV(real_discount_rate,OFFSET(AF68,,,,COUNTA($C$54:$BB$54)-COUNTA($C$54:AF$54)+1)-OFFSET(AF69,,,,COUNTA($C$54:$BB$54)-COUNTA($C$54:AF$54)+1))*(1+real_discount_rate),IF($B107=AF$2,AF$6,0))</f>
        <v>0</v>
      </c>
      <c r="AG107" s="180" cm="1">
        <f t="array" aca="1" ref="AG107" ca="1">IF(AND($B107=AG$93,$B107=$B108-1),NPV(real_discount_rate,OFFSET(AG68,,,,COUNTA($C$54:$BB$54)-COUNTA($C$54:AG$54)+1)-OFFSET(AG69,,,,COUNTA($C$54:$BB$54)-COUNTA($C$54:AG$54)+1))*(1+real_discount_rate),IF($B107=AG$2,AG$6,0))</f>
        <v>0</v>
      </c>
      <c r="AH107" s="649" cm="1">
        <f t="array" aca="1" ref="AH107" ca="1">IF(AND($B107=AH$93,$B107=$B108-1),NPV(real_discount_rate,OFFSET(AH68,,,,COUNTA($C$54:$BB$54)-COUNTA($C$54:AH$54)+1)-OFFSET(AH69,,,,COUNTA($C$54:$BB$54)-COUNTA($C$54:AH$54)+1))*(1+real_discount_rate),IF($B107=AH$2,AH$6,0))</f>
        <v>0</v>
      </c>
      <c r="AI107" s="653"/>
      <c r="AJ107" s="653"/>
      <c r="AK107" s="653"/>
      <c r="AL107" s="653"/>
      <c r="AM107" s="653"/>
      <c r="AN107" s="653"/>
      <c r="AO107" s="653"/>
      <c r="AP107" s="653"/>
      <c r="AQ107" s="653"/>
      <c r="AR107" s="653"/>
      <c r="AS107" s="653"/>
      <c r="AT107" s="653"/>
      <c r="AU107" s="653"/>
      <c r="AV107" s="653"/>
      <c r="AW107" s="653"/>
      <c r="AX107" s="653"/>
      <c r="AY107" s="653"/>
      <c r="AZ107" s="653"/>
      <c r="BA107" s="653"/>
      <c r="BB107" s="182"/>
      <c r="BC107" s="410"/>
    </row>
    <row r="108" spans="2:55" x14ac:dyDescent="0.3">
      <c r="B108" s="28">
        <v>2035</v>
      </c>
      <c r="C108" s="179" cm="1">
        <f t="array" aca="1" ref="C108" ca="1">IF(AND($B108=C$93,$B108=$B109-1),NPV(real_discount_rate,OFFSET(C69,,,,COUNTA($C$54:$BB$54)-COUNTA($C$54:C$54)+1)-OFFSET(C70,,,,COUNTA($C$54:$BB$54)-COUNTA($C$54:C$54)+1))*(1+real_discount_rate),IF($B108=C$2,C$6,0))</f>
        <v>0</v>
      </c>
      <c r="D108" s="180" cm="1">
        <f t="array" aca="1" ref="D108" ca="1">IF(AND($B108=D$93,$B108=$B109-1),NPV(real_discount_rate,OFFSET(D69,,,,COUNTA($C$54:$BB$54)-COUNTA($C$54:D$54)+1)-OFFSET(D70,,,,COUNTA($C$54:$BB$54)-COUNTA($C$54:D$54)+1))*(1+real_discount_rate),IF($B108=D$2,D$6,0))</f>
        <v>0</v>
      </c>
      <c r="E108" s="180" cm="1">
        <f t="array" aca="1" ref="E108" ca="1">IF(AND($B108=E$93,$B108=$B109-1),NPV(real_discount_rate,OFFSET(E69,,,,COUNTA($C$54:$BB$54)-COUNTA($C$54:E$54)+1)-OFFSET(E70,,,,COUNTA($C$54:$BB$54)-COUNTA($C$54:E$54)+1))*(1+real_discount_rate),IF($B108=E$2,E$6,0))</f>
        <v>0</v>
      </c>
      <c r="F108" s="180" cm="1">
        <f t="array" aca="1" ref="F108" ca="1">IF(AND($B108=F$93,$B108=$B109-1),NPV(real_discount_rate,OFFSET(F69,,,,COUNTA($C$54:$BB$54)-COUNTA($C$54:F$54)+1)-OFFSET(F70,,,,COUNTA($C$54:$BB$54)-COUNTA($C$54:F$54)+1))*(1+real_discount_rate),IF($B108=F$2,F$6,0))</f>
        <v>0</v>
      </c>
      <c r="G108" s="180" cm="1">
        <f t="array" aca="1" ref="G108" ca="1">IF(AND($B108=G$93,$B108=$B109-1),NPV(real_discount_rate,OFFSET(G69,,,,COUNTA($C$54:$BB$54)-COUNTA($C$54:G$54)+1)-OFFSET(G70,,,,COUNTA($C$54:$BB$54)-COUNTA($C$54:G$54)+1))*(1+real_discount_rate),IF($B108=G$2,G$6,0))</f>
        <v>0</v>
      </c>
      <c r="H108" s="180" cm="1">
        <f t="array" aca="1" ref="H108" ca="1">IF(AND($B108=H$93,$B108=$B109-1),NPV(real_discount_rate,OFFSET(H69,,,,COUNTA($C$54:$BB$54)-COUNTA($C$54:H$54)+1)-OFFSET(H70,,,,COUNTA($C$54:$BB$54)-COUNTA($C$54:H$54)+1))*(1+real_discount_rate),IF($B108=H$2,H$6,0))</f>
        <v>0</v>
      </c>
      <c r="I108" s="180" cm="1">
        <f t="array" aca="1" ref="I108" ca="1">IF(AND($B108=I$93,$B108=$B109-1),NPV(real_discount_rate,OFFSET(I69,,,,COUNTA($C$54:$BB$54)-COUNTA($C$54:I$54)+1)-OFFSET(I70,,,,COUNTA($C$54:$BB$54)-COUNTA($C$54:I$54)+1))*(1+real_discount_rate),IF($B108=I$2,I$6,0))</f>
        <v>0</v>
      </c>
      <c r="J108" s="180" cm="1">
        <f t="array" aca="1" ref="J108" ca="1">IF(AND($B108=J$93,$B108=$B109-1),NPV(real_discount_rate,OFFSET(J69,,,,COUNTA($C$54:$BB$54)-COUNTA($C$54:J$54)+1)-OFFSET(J70,,,,COUNTA($C$54:$BB$54)-COUNTA($C$54:J$54)+1))*(1+real_discount_rate),IF($B108=J$2,J$6,0))</f>
        <v>0</v>
      </c>
      <c r="K108" s="180" cm="1">
        <f t="array" aca="1" ref="K108" ca="1">IF(AND($B108=K$93,$B108=$B109-1),NPV(real_discount_rate,OFFSET(K69,,,,COUNTA($C$54:$BB$54)-COUNTA($C$54:K$54)+1)-OFFSET(K70,,,,COUNTA($C$54:$BB$54)-COUNTA($C$54:K$54)+1))*(1+real_discount_rate),IF($B108=K$2,K$6,0))</f>
        <v>0</v>
      </c>
      <c r="L108" s="180" cm="1">
        <f t="array" aca="1" ref="L108" ca="1">IF(AND($B108=L$93,$B108=$B109-1),NPV(real_discount_rate,OFFSET(L69,,,,COUNTA($C$54:$BB$54)-COUNTA($C$54:L$54)+1)-OFFSET(L70,,,,COUNTA($C$54:$BB$54)-COUNTA($C$54:L$54)+1))*(1+real_discount_rate),IF($B108=L$2,L$6,0))</f>
        <v>0</v>
      </c>
      <c r="M108" s="180" cm="1">
        <f t="array" aca="1" ref="M108" ca="1">IF(AND($B108=M$93,$B108=$B109-1),NPV(real_discount_rate,OFFSET(M69,,,,COUNTA($C$54:$BB$54)-COUNTA($C$54:M$54)+1)-OFFSET(M70,,,,COUNTA($C$54:$BB$54)-COUNTA($C$54:M$54)+1))*(1+real_discount_rate),IF($B108=M$2,M$6,0))</f>
        <v>0</v>
      </c>
      <c r="N108" s="180" cm="1">
        <f t="array" aca="1" ref="N108" ca="1">IF(AND($B108=N$93,$B108=$B109-1),NPV(real_discount_rate,OFFSET(N69,,,,COUNTA($C$54:$BB$54)-COUNTA($C$54:N$54)+1)-OFFSET(N70,,,,COUNTA($C$54:$BB$54)-COUNTA($C$54:N$54)+1))*(1+real_discount_rate),IF($B108=N$2,N$6,0))</f>
        <v>0</v>
      </c>
      <c r="O108" s="180" cm="1">
        <f t="array" aca="1" ref="O108" ca="1">IF(AND($B108=O$93,$B108=$B109-1),NPV(real_discount_rate,OFFSET(O69,,,,COUNTA($C$54:$BB$54)-COUNTA($C$54:O$54)+1)-OFFSET(O70,,,,COUNTA($C$54:$BB$54)-COUNTA($C$54:O$54)+1))*(1+real_discount_rate),IF($B108=O$2,O$6,0))</f>
        <v>0</v>
      </c>
      <c r="P108" s="180" cm="1">
        <f t="array" aca="1" ref="P108" ca="1">IF(AND($B108=P$93,$B108=$B109-1),NPV(real_discount_rate,OFFSET(P69,,,,COUNTA($C$54:$BB$54)-COUNTA($C$54:P$54)+1)-OFFSET(P70,,,,COUNTA($C$54:$BB$54)-COUNTA($C$54:P$54)+1))*(1+real_discount_rate),IF($B108=P$2,P$6,0))</f>
        <v>0</v>
      </c>
      <c r="Q108" s="180" cm="1">
        <f t="array" aca="1" ref="Q108" ca="1">IF(AND($B108=Q$93,$B108=$B109-1),NPV(real_discount_rate,OFFSET(Q69,,,,COUNTA($C$54:$BB$54)-COUNTA($C$54:Q$54)+1)-OFFSET(Q70,,,,COUNTA($C$54:$BB$54)-COUNTA($C$54:Q$54)+1))*(1+real_discount_rate),IF($B108=Q$2,Q$6,0))</f>
        <v>74.046158826939219</v>
      </c>
      <c r="R108" s="180" cm="1">
        <f t="array" aca="1" ref="R108" ca="1">IF(AND($B108=R$93,$B108=$B109-1),NPV(real_discount_rate,OFFSET(R69,,,,COUNTA($C$54:$BB$54)-COUNTA($C$54:R$54)+1)-OFFSET(R70,,,,COUNTA($C$54:$BB$54)-COUNTA($C$54:R$54)+1))*(1+real_discount_rate),IF($B108=R$2,R$6,0))</f>
        <v>0</v>
      </c>
      <c r="S108" s="180" cm="1">
        <f t="array" aca="1" ref="S108" ca="1">IF(AND($B108=S$93,$B108=$B109-1),NPV(real_discount_rate,OFFSET(S69,,,,COUNTA($C$54:$BB$54)-COUNTA($C$54:S$54)+1)-OFFSET(S70,,,,COUNTA($C$54:$BB$54)-COUNTA($C$54:S$54)+1))*(1+real_discount_rate),IF($B108=S$2,S$6,0))</f>
        <v>0</v>
      </c>
      <c r="T108" s="180" cm="1">
        <f t="array" aca="1" ref="T108" ca="1">IF(AND($B108=T$93,$B108=$B109-1),NPV(real_discount_rate,OFFSET(T69,,,,COUNTA($C$54:$BB$54)-COUNTA($C$54:T$54)+1)-OFFSET(T70,,,,COUNTA($C$54:$BB$54)-COUNTA($C$54:T$54)+1))*(1+real_discount_rate),IF($B108=T$2,T$6,0))</f>
        <v>0</v>
      </c>
      <c r="U108" s="180" cm="1">
        <f t="array" aca="1" ref="U108" ca="1">IF(AND($B108=U$93,$B108=$B109-1),NPV(real_discount_rate,OFFSET(U69,,,,COUNTA($C$54:$BB$54)-COUNTA($C$54:U$54)+1)-OFFSET(U70,,,,COUNTA($C$54:$BB$54)-COUNTA($C$54:U$54)+1))*(1+real_discount_rate),IF($B108=U$2,U$6,0))</f>
        <v>0</v>
      </c>
      <c r="V108" s="180" cm="1">
        <f t="array" aca="1" ref="V108" ca="1">IF(AND($B108=V$93,$B108=$B109-1),NPV(real_discount_rate,OFFSET(V69,,,,COUNTA($C$54:$BB$54)-COUNTA($C$54:V$54)+1)-OFFSET(V70,,,,COUNTA($C$54:$BB$54)-COUNTA($C$54:V$54)+1))*(1+real_discount_rate),IF($B108=V$2,V$6,0))</f>
        <v>0</v>
      </c>
      <c r="W108" s="180" cm="1">
        <f t="array" aca="1" ref="W108" ca="1">IF(AND($B108=W$93,$B108=$B109-1),NPV(real_discount_rate,OFFSET(W69,,,,COUNTA($C$54:$BB$54)-COUNTA($C$54:W$54)+1)-OFFSET(W70,,,,COUNTA($C$54:$BB$54)-COUNTA($C$54:W$54)+1))*(1+real_discount_rate),IF($B108=W$2,W$6,0))</f>
        <v>0</v>
      </c>
      <c r="X108" s="180" cm="1">
        <f t="array" aca="1" ref="X108" ca="1">IF(AND($B108=X$93,$B108=$B109-1),NPV(real_discount_rate,OFFSET(X69,,,,COUNTA($C$54:$BB$54)-COUNTA($C$54:X$54)+1)-OFFSET(X70,,,,COUNTA($C$54:$BB$54)-COUNTA($C$54:X$54)+1))*(1+real_discount_rate),IF($B108=X$2,X$6,0))</f>
        <v>0</v>
      </c>
      <c r="Y108" s="180" cm="1">
        <f t="array" aca="1" ref="Y108" ca="1">IF(AND($B108=Y$93,$B108=$B109-1),NPV(real_discount_rate,OFFSET(Y69,,,,COUNTA($C$54:$BB$54)-COUNTA($C$54:Y$54)+1)-OFFSET(Y70,,,,COUNTA($C$54:$BB$54)-COUNTA($C$54:Y$54)+1))*(1+real_discount_rate),IF($B108=Y$2,Y$6,0))</f>
        <v>0</v>
      </c>
      <c r="Z108" s="180" cm="1">
        <f t="array" aca="1" ref="Z108" ca="1">IF(AND($B108=Z$93,$B108=$B109-1),NPV(real_discount_rate,OFFSET(Z69,,,,COUNTA($C$54:$BB$54)-COUNTA($C$54:Z$54)+1)-OFFSET(Z70,,,,COUNTA($C$54:$BB$54)-COUNTA($C$54:Z$54)+1))*(1+real_discount_rate),IF($B108=Z$2,Z$6,0))</f>
        <v>0</v>
      </c>
      <c r="AA108" s="180" cm="1">
        <f t="array" aca="1" ref="AA108" ca="1">IF(AND($B108=AA$93,$B108=$B109-1),NPV(real_discount_rate,OFFSET(AA69,,,,COUNTA($C$54:$BB$54)-COUNTA($C$54:AA$54)+1)-OFFSET(AA70,,,,COUNTA($C$54:$BB$54)-COUNTA($C$54:AA$54)+1))*(1+real_discount_rate),IF($B108=AA$2,AA$6,0))</f>
        <v>0</v>
      </c>
      <c r="AB108" s="180" cm="1">
        <f t="array" aca="1" ref="AB108" ca="1">IF(AND($B108=AB$93,$B108=$B109-1),NPV(real_discount_rate,OFFSET(AB69,,,,COUNTA($C$54:$BB$54)-COUNTA($C$54:AB$54)+1)-OFFSET(AB70,,,,COUNTA($C$54:$BB$54)-COUNTA($C$54:AB$54)+1))*(1+real_discount_rate),IF($B108=AB$2,AB$6,0))</f>
        <v>0</v>
      </c>
      <c r="AC108" s="180" cm="1">
        <f t="array" aca="1" ref="AC108" ca="1">IF(AND($B108=AC$93,$B108=$B109-1),NPV(real_discount_rate,OFFSET(AC69,,,,COUNTA($C$54:$BB$54)-COUNTA($C$54:AC$54)+1)-OFFSET(AC70,,,,COUNTA($C$54:$BB$54)-COUNTA($C$54:AC$54)+1))*(1+real_discount_rate),IF($B108=AC$2,AC$6,0))</f>
        <v>0</v>
      </c>
      <c r="AD108" s="180" cm="1">
        <f t="array" aca="1" ref="AD108" ca="1">IF(AND($B108=AD$93,$B108=$B109-1),NPV(real_discount_rate,OFFSET(AD69,,,,COUNTA($C$54:$BB$54)-COUNTA($C$54:AD$54)+1)-OFFSET(AD70,,,,COUNTA($C$54:$BB$54)-COUNTA($C$54:AD$54)+1))*(1+real_discount_rate),IF($B108=AD$2,AD$6,0))</f>
        <v>0</v>
      </c>
      <c r="AE108" s="180" cm="1">
        <f t="array" aca="1" ref="AE108" ca="1">IF(AND($B108=AE$93,$B108=$B109-1),NPV(real_discount_rate,OFFSET(AE69,,,,COUNTA($C$54:$BB$54)-COUNTA($C$54:AE$54)+1)-OFFSET(AE70,,,,COUNTA($C$54:$BB$54)-COUNTA($C$54:AE$54)+1))*(1+real_discount_rate),IF($B108=AE$2,AE$6,0))</f>
        <v>0</v>
      </c>
      <c r="AF108" s="180" cm="1">
        <f t="array" aca="1" ref="AF108" ca="1">IF(AND($B108=AF$93,$B108=$B109-1),NPV(real_discount_rate,OFFSET(AF69,,,,COUNTA($C$54:$BB$54)-COUNTA($C$54:AF$54)+1)-OFFSET(AF70,,,,COUNTA($C$54:$BB$54)-COUNTA($C$54:AF$54)+1))*(1+real_discount_rate),IF($B108=AF$2,AF$6,0))</f>
        <v>0</v>
      </c>
      <c r="AG108" s="180" cm="1">
        <f t="array" aca="1" ref="AG108" ca="1">IF(AND($B108=AG$93,$B108=$B109-1),NPV(real_discount_rate,OFFSET(AG69,,,,COUNTA($C$54:$BB$54)-COUNTA($C$54:AG$54)+1)-OFFSET(AG70,,,,COUNTA($C$54:$BB$54)-COUNTA($C$54:AG$54)+1))*(1+real_discount_rate),IF($B108=AG$2,AG$6,0))</f>
        <v>0</v>
      </c>
      <c r="AH108" s="649" cm="1">
        <f t="array" aca="1" ref="AH108" ca="1">IF(AND($B108=AH$93,$B108=$B109-1),NPV(real_discount_rate,OFFSET(AH69,,,,COUNTA($C$54:$BB$54)-COUNTA($C$54:AH$54)+1)-OFFSET(AH70,,,,COUNTA($C$54:$BB$54)-COUNTA($C$54:AH$54)+1))*(1+real_discount_rate),IF($B108=AH$2,AH$6,0))</f>
        <v>0</v>
      </c>
      <c r="AI108" s="653"/>
      <c r="AJ108" s="653"/>
      <c r="AK108" s="653"/>
      <c r="AL108" s="653"/>
      <c r="AM108" s="653"/>
      <c r="AN108" s="653"/>
      <c r="AO108" s="653"/>
      <c r="AP108" s="653"/>
      <c r="AQ108" s="653"/>
      <c r="AR108" s="653"/>
      <c r="AS108" s="653"/>
      <c r="AT108" s="653"/>
      <c r="AU108" s="653"/>
      <c r="AV108" s="653"/>
      <c r="AW108" s="653"/>
      <c r="AX108" s="653"/>
      <c r="AY108" s="653"/>
      <c r="AZ108" s="653"/>
      <c r="BA108" s="653"/>
      <c r="BB108" s="182"/>
      <c r="BC108" s="410"/>
    </row>
    <row r="109" spans="2:55" x14ac:dyDescent="0.3">
      <c r="B109" s="28">
        <v>2036</v>
      </c>
      <c r="C109" s="179" cm="1">
        <f t="array" aca="1" ref="C109" ca="1">IF(AND($B109=C$93,$B109=$B110-1),NPV(real_discount_rate,OFFSET(C70,,,,COUNTA($C$54:$BB$54)-COUNTA($C$54:C$54)+1)-OFFSET(C71,,,,COUNTA($C$54:$BB$54)-COUNTA($C$54:C$54)+1))*(1+real_discount_rate),IF($B109=C$2,C$6,0))</f>
        <v>0</v>
      </c>
      <c r="D109" s="180" cm="1">
        <f t="array" aca="1" ref="D109" ca="1">IF(AND($B109=D$93,$B109=$B110-1),NPV(real_discount_rate,OFFSET(D70,,,,COUNTA($C$54:$BB$54)-COUNTA($C$54:D$54)+1)-OFFSET(D71,,,,COUNTA($C$54:$BB$54)-COUNTA($C$54:D$54)+1))*(1+real_discount_rate),IF($B109=D$2,D$6,0))</f>
        <v>0</v>
      </c>
      <c r="E109" s="180" cm="1">
        <f t="array" aca="1" ref="E109" ca="1">IF(AND($B109=E$93,$B109=$B110-1),NPV(real_discount_rate,OFFSET(E70,,,,COUNTA($C$54:$BB$54)-COUNTA($C$54:E$54)+1)-OFFSET(E71,,,,COUNTA($C$54:$BB$54)-COUNTA($C$54:E$54)+1))*(1+real_discount_rate),IF($B109=E$2,E$6,0))</f>
        <v>0</v>
      </c>
      <c r="F109" s="180" cm="1">
        <f t="array" aca="1" ref="F109" ca="1">IF(AND($B109=F$93,$B109=$B110-1),NPV(real_discount_rate,OFFSET(F70,,,,COUNTA($C$54:$BB$54)-COUNTA($C$54:F$54)+1)-OFFSET(F71,,,,COUNTA($C$54:$BB$54)-COUNTA($C$54:F$54)+1))*(1+real_discount_rate),IF($B109=F$2,F$6,0))</f>
        <v>0</v>
      </c>
      <c r="G109" s="180" cm="1">
        <f t="array" aca="1" ref="G109" ca="1">IF(AND($B109=G$93,$B109=$B110-1),NPV(real_discount_rate,OFFSET(G70,,,,COUNTA($C$54:$BB$54)-COUNTA($C$54:G$54)+1)-OFFSET(G71,,,,COUNTA($C$54:$BB$54)-COUNTA($C$54:G$54)+1))*(1+real_discount_rate),IF($B109=G$2,G$6,0))</f>
        <v>0</v>
      </c>
      <c r="H109" s="180" cm="1">
        <f t="array" aca="1" ref="H109" ca="1">IF(AND($B109=H$93,$B109=$B110-1),NPV(real_discount_rate,OFFSET(H70,,,,COUNTA($C$54:$BB$54)-COUNTA($C$54:H$54)+1)-OFFSET(H71,,,,COUNTA($C$54:$BB$54)-COUNTA($C$54:H$54)+1))*(1+real_discount_rate),IF($B109=H$2,H$6,0))</f>
        <v>0</v>
      </c>
      <c r="I109" s="180" cm="1">
        <f t="array" aca="1" ref="I109" ca="1">IF(AND($B109=I$93,$B109=$B110-1),NPV(real_discount_rate,OFFSET(I70,,,,COUNTA($C$54:$BB$54)-COUNTA($C$54:I$54)+1)-OFFSET(I71,,,,COUNTA($C$54:$BB$54)-COUNTA($C$54:I$54)+1))*(1+real_discount_rate),IF($B109=I$2,I$6,0))</f>
        <v>0</v>
      </c>
      <c r="J109" s="180" cm="1">
        <f t="array" aca="1" ref="J109" ca="1">IF(AND($B109=J$93,$B109=$B110-1),NPV(real_discount_rate,OFFSET(J70,,,,COUNTA($C$54:$BB$54)-COUNTA($C$54:J$54)+1)-OFFSET(J71,,,,COUNTA($C$54:$BB$54)-COUNTA($C$54:J$54)+1))*(1+real_discount_rate),IF($B109=J$2,J$6,0))</f>
        <v>0</v>
      </c>
      <c r="K109" s="180" cm="1">
        <f t="array" aca="1" ref="K109" ca="1">IF(AND($B109=K$93,$B109=$B110-1),NPV(real_discount_rate,OFFSET(K70,,,,COUNTA($C$54:$BB$54)-COUNTA($C$54:K$54)+1)-OFFSET(K71,,,,COUNTA($C$54:$BB$54)-COUNTA($C$54:K$54)+1))*(1+real_discount_rate),IF($B109=K$2,K$6,0))</f>
        <v>0</v>
      </c>
      <c r="L109" s="180" cm="1">
        <f t="array" aca="1" ref="L109" ca="1">IF(AND($B109=L$93,$B109=$B110-1),NPV(real_discount_rate,OFFSET(L70,,,,COUNTA($C$54:$BB$54)-COUNTA($C$54:L$54)+1)-OFFSET(L71,,,,COUNTA($C$54:$BB$54)-COUNTA($C$54:L$54)+1))*(1+real_discount_rate),IF($B109=L$2,L$6,0))</f>
        <v>0</v>
      </c>
      <c r="M109" s="180" cm="1">
        <f t="array" aca="1" ref="M109" ca="1">IF(AND($B109=M$93,$B109=$B110-1),NPV(real_discount_rate,OFFSET(M70,,,,COUNTA($C$54:$BB$54)-COUNTA($C$54:M$54)+1)-OFFSET(M71,,,,COUNTA($C$54:$BB$54)-COUNTA($C$54:M$54)+1))*(1+real_discount_rate),IF($B109=M$2,M$6,0))</f>
        <v>0</v>
      </c>
      <c r="N109" s="180" cm="1">
        <f t="array" aca="1" ref="N109" ca="1">IF(AND($B109=N$93,$B109=$B110-1),NPV(real_discount_rate,OFFSET(N70,,,,COUNTA($C$54:$BB$54)-COUNTA($C$54:N$54)+1)-OFFSET(N71,,,,COUNTA($C$54:$BB$54)-COUNTA($C$54:N$54)+1))*(1+real_discount_rate),IF($B109=N$2,N$6,0))</f>
        <v>0</v>
      </c>
      <c r="O109" s="180" cm="1">
        <f t="array" aca="1" ref="O109" ca="1">IF(AND($B109=O$93,$B109=$B110-1),NPV(real_discount_rate,OFFSET(O70,,,,COUNTA($C$54:$BB$54)-COUNTA($C$54:O$54)+1)-OFFSET(O71,,,,COUNTA($C$54:$BB$54)-COUNTA($C$54:O$54)+1))*(1+real_discount_rate),IF($B109=O$2,O$6,0))</f>
        <v>0</v>
      </c>
      <c r="P109" s="180" cm="1">
        <f t="array" aca="1" ref="P109" ca="1">IF(AND($B109=P$93,$B109=$B110-1),NPV(real_discount_rate,OFFSET(P70,,,,COUNTA($C$54:$BB$54)-COUNTA($C$54:P$54)+1)-OFFSET(P71,,,,COUNTA($C$54:$BB$54)-COUNTA($C$54:P$54)+1))*(1+real_discount_rate),IF($B109=P$2,P$6,0))</f>
        <v>0</v>
      </c>
      <c r="Q109" s="180" cm="1">
        <f t="array" aca="1" ref="Q109" ca="1">IF(AND($B109=Q$93,$B109=$B110-1),NPV(real_discount_rate,OFFSET(Q70,,,,COUNTA($C$54:$BB$54)-COUNTA($C$54:Q$54)+1)-OFFSET(Q71,,,,COUNTA($C$54:$BB$54)-COUNTA($C$54:Q$54)+1))*(1+real_discount_rate),IF($B109=Q$2,Q$6,0))</f>
        <v>0</v>
      </c>
      <c r="R109" s="180" cm="1">
        <f t="array" aca="1" ref="R109" ca="1">IF(AND($B109=R$93,$B109=$B110-1),NPV(real_discount_rate,OFFSET(R70,,,,COUNTA($C$54:$BB$54)-COUNTA($C$54:R$54)+1)-OFFSET(R71,,,,COUNTA($C$54:$BB$54)-COUNTA($C$54:R$54)+1))*(1+real_discount_rate),IF($B109=R$2,R$6,0))</f>
        <v>72.28565857189551</v>
      </c>
      <c r="S109" s="180" cm="1">
        <f t="array" aca="1" ref="S109" ca="1">IF(AND($B109=S$93,$B109=$B110-1),NPV(real_discount_rate,OFFSET(S70,,,,COUNTA($C$54:$BB$54)-COUNTA($C$54:S$54)+1)-OFFSET(S71,,,,COUNTA($C$54:$BB$54)-COUNTA($C$54:S$54)+1))*(1+real_discount_rate),IF($B109=S$2,S$6,0))</f>
        <v>0</v>
      </c>
      <c r="T109" s="180" cm="1">
        <f t="array" aca="1" ref="T109" ca="1">IF(AND($B109=T$93,$B109=$B110-1),NPV(real_discount_rate,OFFSET(T70,,,,COUNTA($C$54:$BB$54)-COUNTA($C$54:T$54)+1)-OFFSET(T71,,,,COUNTA($C$54:$BB$54)-COUNTA($C$54:T$54)+1))*(1+real_discount_rate),IF($B109=T$2,T$6,0))</f>
        <v>0</v>
      </c>
      <c r="U109" s="180" cm="1">
        <f t="array" aca="1" ref="U109" ca="1">IF(AND($B109=U$93,$B109=$B110-1),NPV(real_discount_rate,OFFSET(U70,,,,COUNTA($C$54:$BB$54)-COUNTA($C$54:U$54)+1)-OFFSET(U71,,,,COUNTA($C$54:$BB$54)-COUNTA($C$54:U$54)+1))*(1+real_discount_rate),IF($B109=U$2,U$6,0))</f>
        <v>0</v>
      </c>
      <c r="V109" s="180" cm="1">
        <f t="array" aca="1" ref="V109" ca="1">IF(AND($B109=V$93,$B109=$B110-1),NPV(real_discount_rate,OFFSET(V70,,,,COUNTA($C$54:$BB$54)-COUNTA($C$54:V$54)+1)-OFFSET(V71,,,,COUNTA($C$54:$BB$54)-COUNTA($C$54:V$54)+1))*(1+real_discount_rate),IF($B109=V$2,V$6,0))</f>
        <v>0</v>
      </c>
      <c r="W109" s="180" cm="1">
        <f t="array" aca="1" ref="W109" ca="1">IF(AND($B109=W$93,$B109=$B110-1),NPV(real_discount_rate,OFFSET(W70,,,,COUNTA($C$54:$BB$54)-COUNTA($C$54:W$54)+1)-OFFSET(W71,,,,COUNTA($C$54:$BB$54)-COUNTA($C$54:W$54)+1))*(1+real_discount_rate),IF($B109=W$2,W$6,0))</f>
        <v>0</v>
      </c>
      <c r="X109" s="180" cm="1">
        <f t="array" aca="1" ref="X109" ca="1">IF(AND($B109=X$93,$B109=$B110-1),NPV(real_discount_rate,OFFSET(X70,,,,COUNTA($C$54:$BB$54)-COUNTA($C$54:X$54)+1)-OFFSET(X71,,,,COUNTA($C$54:$BB$54)-COUNTA($C$54:X$54)+1))*(1+real_discount_rate),IF($B109=X$2,X$6,0))</f>
        <v>0</v>
      </c>
      <c r="Y109" s="180" cm="1">
        <f t="array" aca="1" ref="Y109" ca="1">IF(AND($B109=Y$93,$B109=$B110-1),NPV(real_discount_rate,OFFSET(Y70,,,,COUNTA($C$54:$BB$54)-COUNTA($C$54:Y$54)+1)-OFFSET(Y71,,,,COUNTA($C$54:$BB$54)-COUNTA($C$54:Y$54)+1))*(1+real_discount_rate),IF($B109=Y$2,Y$6,0))</f>
        <v>0</v>
      </c>
      <c r="Z109" s="180" cm="1">
        <f t="array" aca="1" ref="Z109" ca="1">IF(AND($B109=Z$93,$B109=$B110-1),NPV(real_discount_rate,OFFSET(Z70,,,,COUNTA($C$54:$BB$54)-COUNTA($C$54:Z$54)+1)-OFFSET(Z71,,,,COUNTA($C$54:$BB$54)-COUNTA($C$54:Z$54)+1))*(1+real_discount_rate),IF($B109=Z$2,Z$6,0))</f>
        <v>0</v>
      </c>
      <c r="AA109" s="180" cm="1">
        <f t="array" aca="1" ref="AA109" ca="1">IF(AND($B109=AA$93,$B109=$B110-1),NPV(real_discount_rate,OFFSET(AA70,,,,COUNTA($C$54:$BB$54)-COUNTA($C$54:AA$54)+1)-OFFSET(AA71,,,,COUNTA($C$54:$BB$54)-COUNTA($C$54:AA$54)+1))*(1+real_discount_rate),IF($B109=AA$2,AA$6,0))</f>
        <v>0</v>
      </c>
      <c r="AB109" s="180" cm="1">
        <f t="array" aca="1" ref="AB109" ca="1">IF(AND($B109=AB$93,$B109=$B110-1),NPV(real_discount_rate,OFFSET(AB70,,,,COUNTA($C$54:$BB$54)-COUNTA($C$54:AB$54)+1)-OFFSET(AB71,,,,COUNTA($C$54:$BB$54)-COUNTA($C$54:AB$54)+1))*(1+real_discount_rate),IF($B109=AB$2,AB$6,0))</f>
        <v>0</v>
      </c>
      <c r="AC109" s="180" cm="1">
        <f t="array" aca="1" ref="AC109" ca="1">IF(AND($B109=AC$93,$B109=$B110-1),NPV(real_discount_rate,OFFSET(AC70,,,,COUNTA($C$54:$BB$54)-COUNTA($C$54:AC$54)+1)-OFFSET(AC71,,,,COUNTA($C$54:$BB$54)-COUNTA($C$54:AC$54)+1))*(1+real_discount_rate),IF($B109=AC$2,AC$6,0))</f>
        <v>0</v>
      </c>
      <c r="AD109" s="180" cm="1">
        <f t="array" aca="1" ref="AD109" ca="1">IF(AND($B109=AD$93,$B109=$B110-1),NPV(real_discount_rate,OFFSET(AD70,,,,COUNTA($C$54:$BB$54)-COUNTA($C$54:AD$54)+1)-OFFSET(AD71,,,,COUNTA($C$54:$BB$54)-COUNTA($C$54:AD$54)+1))*(1+real_discount_rate),IF($B109=AD$2,AD$6,0))</f>
        <v>0</v>
      </c>
      <c r="AE109" s="180" cm="1">
        <f t="array" aca="1" ref="AE109" ca="1">IF(AND($B109=AE$93,$B109=$B110-1),NPV(real_discount_rate,OFFSET(AE70,,,,COUNTA($C$54:$BB$54)-COUNTA($C$54:AE$54)+1)-OFFSET(AE71,,,,COUNTA($C$54:$BB$54)-COUNTA($C$54:AE$54)+1))*(1+real_discount_rate),IF($B109=AE$2,AE$6,0))</f>
        <v>0</v>
      </c>
      <c r="AF109" s="180" cm="1">
        <f t="array" aca="1" ref="AF109" ca="1">IF(AND($B109=AF$93,$B109=$B110-1),NPV(real_discount_rate,OFFSET(AF70,,,,COUNTA($C$54:$BB$54)-COUNTA($C$54:AF$54)+1)-OFFSET(AF71,,,,COUNTA($C$54:$BB$54)-COUNTA($C$54:AF$54)+1))*(1+real_discount_rate),IF($B109=AF$2,AF$6,0))</f>
        <v>0</v>
      </c>
      <c r="AG109" s="180" cm="1">
        <f t="array" aca="1" ref="AG109" ca="1">IF(AND($B109=AG$93,$B109=$B110-1),NPV(real_discount_rate,OFFSET(AG70,,,,COUNTA($C$54:$BB$54)-COUNTA($C$54:AG$54)+1)-OFFSET(AG71,,,,COUNTA($C$54:$BB$54)-COUNTA($C$54:AG$54)+1))*(1+real_discount_rate),IF($B109=AG$2,AG$6,0))</f>
        <v>0</v>
      </c>
      <c r="AH109" s="649" cm="1">
        <f t="array" aca="1" ref="AH109" ca="1">IF(AND($B109=AH$93,$B109=$B110-1),NPV(real_discount_rate,OFFSET(AH70,,,,COUNTA($C$54:$BB$54)-COUNTA($C$54:AH$54)+1)-OFFSET(AH71,,,,COUNTA($C$54:$BB$54)-COUNTA($C$54:AH$54)+1))*(1+real_discount_rate),IF($B109=AH$2,AH$6,0))</f>
        <v>0</v>
      </c>
      <c r="AI109" s="653"/>
      <c r="AJ109" s="653"/>
      <c r="AK109" s="653"/>
      <c r="AL109" s="653"/>
      <c r="AM109" s="653"/>
      <c r="AN109" s="653"/>
      <c r="AO109" s="653"/>
      <c r="AP109" s="653"/>
      <c r="AQ109" s="653"/>
      <c r="AR109" s="653"/>
      <c r="AS109" s="653"/>
      <c r="AT109" s="653"/>
      <c r="AU109" s="653"/>
      <c r="AV109" s="653"/>
      <c r="AW109" s="653"/>
      <c r="AX109" s="653"/>
      <c r="AY109" s="653"/>
      <c r="AZ109" s="653"/>
      <c r="BA109" s="653"/>
      <c r="BB109" s="182"/>
      <c r="BC109" s="410"/>
    </row>
    <row r="110" spans="2:55" x14ac:dyDescent="0.3">
      <c r="B110" s="28">
        <v>2037</v>
      </c>
      <c r="C110" s="179" cm="1">
        <f t="array" aca="1" ref="C110" ca="1">IF(AND($B110=C$93,$B110=$B111-1),NPV(real_discount_rate,OFFSET(C71,,,,COUNTA($C$54:$BB$54)-COUNTA($C$54:C$54)+1)-OFFSET(C72,,,,COUNTA($C$54:$BB$54)-COUNTA($C$54:C$54)+1))*(1+real_discount_rate),IF($B110=C$2,C$6,0))</f>
        <v>0</v>
      </c>
      <c r="D110" s="180" cm="1">
        <f t="array" aca="1" ref="D110" ca="1">IF(AND($B110=D$93,$B110=$B111-1),NPV(real_discount_rate,OFFSET(D71,,,,COUNTA($C$54:$BB$54)-COUNTA($C$54:D$54)+1)-OFFSET(D72,,,,COUNTA($C$54:$BB$54)-COUNTA($C$54:D$54)+1))*(1+real_discount_rate),IF($B110=D$2,D$6,0))</f>
        <v>0</v>
      </c>
      <c r="E110" s="180" cm="1">
        <f t="array" aca="1" ref="E110" ca="1">IF(AND($B110=E$93,$B110=$B111-1),NPV(real_discount_rate,OFFSET(E71,,,,COUNTA($C$54:$BB$54)-COUNTA($C$54:E$54)+1)-OFFSET(E72,,,,COUNTA($C$54:$BB$54)-COUNTA($C$54:E$54)+1))*(1+real_discount_rate),IF($B110=E$2,E$6,0))</f>
        <v>0</v>
      </c>
      <c r="F110" s="180" cm="1">
        <f t="array" aca="1" ref="F110" ca="1">IF(AND($B110=F$93,$B110=$B111-1),NPV(real_discount_rate,OFFSET(F71,,,,COUNTA($C$54:$BB$54)-COUNTA($C$54:F$54)+1)-OFFSET(F72,,,,COUNTA($C$54:$BB$54)-COUNTA($C$54:F$54)+1))*(1+real_discount_rate),IF($B110=F$2,F$6,0))</f>
        <v>0</v>
      </c>
      <c r="G110" s="180" cm="1">
        <f t="array" aca="1" ref="G110" ca="1">IF(AND($B110=G$93,$B110=$B111-1),NPV(real_discount_rate,OFFSET(G71,,,,COUNTA($C$54:$BB$54)-COUNTA($C$54:G$54)+1)-OFFSET(G72,,,,COUNTA($C$54:$BB$54)-COUNTA($C$54:G$54)+1))*(1+real_discount_rate),IF($B110=G$2,G$6,0))</f>
        <v>0</v>
      </c>
      <c r="H110" s="180" cm="1">
        <f t="array" aca="1" ref="H110" ca="1">IF(AND($B110=H$93,$B110=$B111-1),NPV(real_discount_rate,OFFSET(H71,,,,COUNTA($C$54:$BB$54)-COUNTA($C$54:H$54)+1)-OFFSET(H72,,,,COUNTA($C$54:$BB$54)-COUNTA($C$54:H$54)+1))*(1+real_discount_rate),IF($B110=H$2,H$6,0))</f>
        <v>0</v>
      </c>
      <c r="I110" s="180" cm="1">
        <f t="array" aca="1" ref="I110" ca="1">IF(AND($B110=I$93,$B110=$B111-1),NPV(real_discount_rate,OFFSET(I71,,,,COUNTA($C$54:$BB$54)-COUNTA($C$54:I$54)+1)-OFFSET(I72,,,,COUNTA($C$54:$BB$54)-COUNTA($C$54:I$54)+1))*(1+real_discount_rate),IF($B110=I$2,I$6,0))</f>
        <v>0</v>
      </c>
      <c r="J110" s="180" cm="1">
        <f t="array" aca="1" ref="J110" ca="1">IF(AND($B110=J$93,$B110=$B111-1),NPV(real_discount_rate,OFFSET(J71,,,,COUNTA($C$54:$BB$54)-COUNTA($C$54:J$54)+1)-OFFSET(J72,,,,COUNTA($C$54:$BB$54)-COUNTA($C$54:J$54)+1))*(1+real_discount_rate),IF($B110=J$2,J$6,0))</f>
        <v>0</v>
      </c>
      <c r="K110" s="180" cm="1">
        <f t="array" aca="1" ref="K110" ca="1">IF(AND($B110=K$93,$B110=$B111-1),NPV(real_discount_rate,OFFSET(K71,,,,COUNTA($C$54:$BB$54)-COUNTA($C$54:K$54)+1)-OFFSET(K72,,,,COUNTA($C$54:$BB$54)-COUNTA($C$54:K$54)+1))*(1+real_discount_rate),IF($B110=K$2,K$6,0))</f>
        <v>0</v>
      </c>
      <c r="L110" s="180" cm="1">
        <f t="array" aca="1" ref="L110" ca="1">IF(AND($B110=L$93,$B110=$B111-1),NPV(real_discount_rate,OFFSET(L71,,,,COUNTA($C$54:$BB$54)-COUNTA($C$54:L$54)+1)-OFFSET(L72,,,,COUNTA($C$54:$BB$54)-COUNTA($C$54:L$54)+1))*(1+real_discount_rate),IF($B110=L$2,L$6,0))</f>
        <v>0</v>
      </c>
      <c r="M110" s="180" cm="1">
        <f t="array" aca="1" ref="M110" ca="1">IF(AND($B110=M$93,$B110=$B111-1),NPV(real_discount_rate,OFFSET(M71,,,,COUNTA($C$54:$BB$54)-COUNTA($C$54:M$54)+1)-OFFSET(M72,,,,COUNTA($C$54:$BB$54)-COUNTA($C$54:M$54)+1))*(1+real_discount_rate),IF($B110=M$2,M$6,0))</f>
        <v>0</v>
      </c>
      <c r="N110" s="180" cm="1">
        <f t="array" aca="1" ref="N110" ca="1">IF(AND($B110=N$93,$B110=$B111-1),NPV(real_discount_rate,OFFSET(N71,,,,COUNTA($C$54:$BB$54)-COUNTA($C$54:N$54)+1)-OFFSET(N72,,,,COUNTA($C$54:$BB$54)-COUNTA($C$54:N$54)+1))*(1+real_discount_rate),IF($B110=N$2,N$6,0))</f>
        <v>0</v>
      </c>
      <c r="O110" s="180" cm="1">
        <f t="array" aca="1" ref="O110" ca="1">IF(AND($B110=O$93,$B110=$B111-1),NPV(real_discount_rate,OFFSET(O71,,,,COUNTA($C$54:$BB$54)-COUNTA($C$54:O$54)+1)-OFFSET(O72,,,,COUNTA($C$54:$BB$54)-COUNTA($C$54:O$54)+1))*(1+real_discount_rate),IF($B110=O$2,O$6,0))</f>
        <v>0</v>
      </c>
      <c r="P110" s="180" cm="1">
        <f t="array" aca="1" ref="P110" ca="1">IF(AND($B110=P$93,$B110=$B111-1),NPV(real_discount_rate,OFFSET(P71,,,,COUNTA($C$54:$BB$54)-COUNTA($C$54:P$54)+1)-OFFSET(P72,,,,COUNTA($C$54:$BB$54)-COUNTA($C$54:P$54)+1))*(1+real_discount_rate),IF($B110=P$2,P$6,0))</f>
        <v>0</v>
      </c>
      <c r="Q110" s="180" cm="1">
        <f t="array" aca="1" ref="Q110" ca="1">IF(AND($B110=Q$93,$B110=$B111-1),NPV(real_discount_rate,OFFSET(Q71,,,,COUNTA($C$54:$BB$54)-COUNTA($C$54:Q$54)+1)-OFFSET(Q72,,,,COUNTA($C$54:$BB$54)-COUNTA($C$54:Q$54)+1))*(1+real_discount_rate),IF($B110=Q$2,Q$6,0))</f>
        <v>0</v>
      </c>
      <c r="R110" s="180" cm="1">
        <f t="array" aca="1" ref="R110" ca="1">IF(AND($B110=R$93,$B110=$B111-1),NPV(real_discount_rate,OFFSET(R71,,,,COUNTA($C$54:$BB$54)-COUNTA($C$54:R$54)+1)-OFFSET(R72,,,,COUNTA($C$54:$BB$54)-COUNTA($C$54:R$54)+1))*(1+real_discount_rate),IF($B110=R$2,R$6,0))</f>
        <v>0</v>
      </c>
      <c r="S110" s="180" cm="1">
        <f t="array" aca="1" ref="S110" ca="1">IF(AND($B110=S$93,$B110=$B111-1),NPV(real_discount_rate,OFFSET(S71,,,,COUNTA($C$54:$BB$54)-COUNTA($C$54:S$54)+1)-OFFSET(S72,,,,COUNTA($C$54:$BB$54)-COUNTA($C$54:S$54)+1))*(1+real_discount_rate),IF($B110=S$2,S$6,0))</f>
        <v>72.763160230592291</v>
      </c>
      <c r="T110" s="180" cm="1">
        <f t="array" aca="1" ref="T110" ca="1">IF(AND($B110=T$93,$B110=$B111-1),NPV(real_discount_rate,OFFSET(T71,,,,COUNTA($C$54:$BB$54)-COUNTA($C$54:T$54)+1)-OFFSET(T72,,,,COUNTA($C$54:$BB$54)-COUNTA($C$54:T$54)+1))*(1+real_discount_rate),IF($B110=T$2,T$6,0))</f>
        <v>0</v>
      </c>
      <c r="U110" s="180" cm="1">
        <f t="array" aca="1" ref="U110" ca="1">IF(AND($B110=U$93,$B110=$B111-1),NPV(real_discount_rate,OFFSET(U71,,,,COUNTA($C$54:$BB$54)-COUNTA($C$54:U$54)+1)-OFFSET(U72,,,,COUNTA($C$54:$BB$54)-COUNTA($C$54:U$54)+1))*(1+real_discount_rate),IF($B110=U$2,U$6,0))</f>
        <v>0</v>
      </c>
      <c r="V110" s="180" cm="1">
        <f t="array" aca="1" ref="V110" ca="1">IF(AND($B110=V$93,$B110=$B111-1),NPV(real_discount_rate,OFFSET(V71,,,,COUNTA($C$54:$BB$54)-COUNTA($C$54:V$54)+1)-OFFSET(V72,,,,COUNTA($C$54:$BB$54)-COUNTA($C$54:V$54)+1))*(1+real_discount_rate),IF($B110=V$2,V$6,0))</f>
        <v>0</v>
      </c>
      <c r="W110" s="180" cm="1">
        <f t="array" aca="1" ref="W110" ca="1">IF(AND($B110=W$93,$B110=$B111-1),NPV(real_discount_rate,OFFSET(W71,,,,COUNTA($C$54:$BB$54)-COUNTA($C$54:W$54)+1)-OFFSET(W72,,,,COUNTA($C$54:$BB$54)-COUNTA($C$54:W$54)+1))*(1+real_discount_rate),IF($B110=W$2,W$6,0))</f>
        <v>0</v>
      </c>
      <c r="X110" s="180" cm="1">
        <f t="array" aca="1" ref="X110" ca="1">IF(AND($B110=X$93,$B110=$B111-1),NPV(real_discount_rate,OFFSET(X71,,,,COUNTA($C$54:$BB$54)-COUNTA($C$54:X$54)+1)-OFFSET(X72,,,,COUNTA($C$54:$BB$54)-COUNTA($C$54:X$54)+1))*(1+real_discount_rate),IF($B110=X$2,X$6,0))</f>
        <v>0</v>
      </c>
      <c r="Y110" s="180" cm="1">
        <f t="array" aca="1" ref="Y110" ca="1">IF(AND($B110=Y$93,$B110=$B111-1),NPV(real_discount_rate,OFFSET(Y71,,,,COUNTA($C$54:$BB$54)-COUNTA($C$54:Y$54)+1)-OFFSET(Y72,,,,COUNTA($C$54:$BB$54)-COUNTA($C$54:Y$54)+1))*(1+real_discount_rate),IF($B110=Y$2,Y$6,0))</f>
        <v>0</v>
      </c>
      <c r="Z110" s="180" cm="1">
        <f t="array" aca="1" ref="Z110" ca="1">IF(AND($B110=Z$93,$B110=$B111-1),NPV(real_discount_rate,OFFSET(Z71,,,,COUNTA($C$54:$BB$54)-COUNTA($C$54:Z$54)+1)-OFFSET(Z72,,,,COUNTA($C$54:$BB$54)-COUNTA($C$54:Z$54)+1))*(1+real_discount_rate),IF($B110=Z$2,Z$6,0))</f>
        <v>0</v>
      </c>
      <c r="AA110" s="180" cm="1">
        <f t="array" aca="1" ref="AA110" ca="1">IF(AND($B110=AA$93,$B110=$B111-1),NPV(real_discount_rate,OFFSET(AA71,,,,COUNTA($C$54:$BB$54)-COUNTA($C$54:AA$54)+1)-OFFSET(AA72,,,,COUNTA($C$54:$BB$54)-COUNTA($C$54:AA$54)+1))*(1+real_discount_rate),IF($B110=AA$2,AA$6,0))</f>
        <v>0</v>
      </c>
      <c r="AB110" s="180" cm="1">
        <f t="array" aca="1" ref="AB110" ca="1">IF(AND($B110=AB$93,$B110=$B111-1),NPV(real_discount_rate,OFFSET(AB71,,,,COUNTA($C$54:$BB$54)-COUNTA($C$54:AB$54)+1)-OFFSET(AB72,,,,COUNTA($C$54:$BB$54)-COUNTA($C$54:AB$54)+1))*(1+real_discount_rate),IF($B110=AB$2,AB$6,0))</f>
        <v>0</v>
      </c>
      <c r="AC110" s="180" cm="1">
        <f t="array" aca="1" ref="AC110" ca="1">IF(AND($B110=AC$93,$B110=$B111-1),NPV(real_discount_rate,OFFSET(AC71,,,,COUNTA($C$54:$BB$54)-COUNTA($C$54:AC$54)+1)-OFFSET(AC72,,,,COUNTA($C$54:$BB$54)-COUNTA($C$54:AC$54)+1))*(1+real_discount_rate),IF($B110=AC$2,AC$6,0))</f>
        <v>0</v>
      </c>
      <c r="AD110" s="180" cm="1">
        <f t="array" aca="1" ref="AD110" ca="1">IF(AND($B110=AD$93,$B110=$B111-1),NPV(real_discount_rate,OFFSET(AD71,,,,COUNTA($C$54:$BB$54)-COUNTA($C$54:AD$54)+1)-OFFSET(AD72,,,,COUNTA($C$54:$BB$54)-COUNTA($C$54:AD$54)+1))*(1+real_discount_rate),IF($B110=AD$2,AD$6,0))</f>
        <v>0</v>
      </c>
      <c r="AE110" s="180" cm="1">
        <f t="array" aca="1" ref="AE110" ca="1">IF(AND($B110=AE$93,$B110=$B111-1),NPV(real_discount_rate,OFFSET(AE71,,,,COUNTA($C$54:$BB$54)-COUNTA($C$54:AE$54)+1)-OFFSET(AE72,,,,COUNTA($C$54:$BB$54)-COUNTA($C$54:AE$54)+1))*(1+real_discount_rate),IF($B110=AE$2,AE$6,0))</f>
        <v>0</v>
      </c>
      <c r="AF110" s="180" cm="1">
        <f t="array" aca="1" ref="AF110" ca="1">IF(AND($B110=AF$93,$B110=$B111-1),NPV(real_discount_rate,OFFSET(AF71,,,,COUNTA($C$54:$BB$54)-COUNTA($C$54:AF$54)+1)-OFFSET(AF72,,,,COUNTA($C$54:$BB$54)-COUNTA($C$54:AF$54)+1))*(1+real_discount_rate),IF($B110=AF$2,AF$6,0))</f>
        <v>0</v>
      </c>
      <c r="AG110" s="180" cm="1">
        <f t="array" aca="1" ref="AG110" ca="1">IF(AND($B110=AG$93,$B110=$B111-1),NPV(real_discount_rate,OFFSET(AG71,,,,COUNTA($C$54:$BB$54)-COUNTA($C$54:AG$54)+1)-OFFSET(AG72,,,,COUNTA($C$54:$BB$54)-COUNTA($C$54:AG$54)+1))*(1+real_discount_rate),IF($B110=AG$2,AG$6,0))</f>
        <v>0</v>
      </c>
      <c r="AH110" s="649" cm="1">
        <f t="array" aca="1" ref="AH110" ca="1">IF(AND($B110=AH$93,$B110=$B111-1),NPV(real_discount_rate,OFFSET(AH71,,,,COUNTA($C$54:$BB$54)-COUNTA($C$54:AH$54)+1)-OFFSET(AH72,,,,COUNTA($C$54:$BB$54)-COUNTA($C$54:AH$54)+1))*(1+real_discount_rate),IF($B110=AH$2,AH$6,0))</f>
        <v>0</v>
      </c>
      <c r="AI110" s="653"/>
      <c r="AJ110" s="653"/>
      <c r="AK110" s="653"/>
      <c r="AL110" s="653"/>
      <c r="AM110" s="653"/>
      <c r="AN110" s="653"/>
      <c r="AO110" s="653"/>
      <c r="AP110" s="653"/>
      <c r="AQ110" s="653"/>
      <c r="AR110" s="653"/>
      <c r="AS110" s="653"/>
      <c r="AT110" s="653"/>
      <c r="AU110" s="653"/>
      <c r="AV110" s="653"/>
      <c r="AW110" s="653"/>
      <c r="AX110" s="653"/>
      <c r="AY110" s="653"/>
      <c r="AZ110" s="653"/>
      <c r="BA110" s="653"/>
      <c r="BB110" s="182"/>
      <c r="BC110" s="410"/>
    </row>
    <row r="111" spans="2:55" x14ac:dyDescent="0.3">
      <c r="B111" s="28">
        <v>2038</v>
      </c>
      <c r="C111" s="179" cm="1">
        <f t="array" aca="1" ref="C111" ca="1">IF(AND($B111=C$93,$B111=$B112-1),NPV(real_discount_rate,OFFSET(C72,,,,COUNTA($C$54:$BB$54)-COUNTA($C$54:C$54)+1)-OFFSET(C73,,,,COUNTA($C$54:$BB$54)-COUNTA($C$54:C$54)+1))*(1+real_discount_rate),IF($B111=C$2,C$6,0))</f>
        <v>0</v>
      </c>
      <c r="D111" s="180" cm="1">
        <f t="array" aca="1" ref="D111" ca="1">IF(AND($B111=D$93,$B111=$B112-1),NPV(real_discount_rate,OFFSET(D72,,,,COUNTA($C$54:$BB$54)-COUNTA($C$54:D$54)+1)-OFFSET(D73,,,,COUNTA($C$54:$BB$54)-COUNTA($C$54:D$54)+1))*(1+real_discount_rate),IF($B111=D$2,D$6,0))</f>
        <v>0</v>
      </c>
      <c r="E111" s="180" cm="1">
        <f t="array" aca="1" ref="E111" ca="1">IF(AND($B111=E$93,$B111=$B112-1),NPV(real_discount_rate,OFFSET(E72,,,,COUNTA($C$54:$BB$54)-COUNTA($C$54:E$54)+1)-OFFSET(E73,,,,COUNTA($C$54:$BB$54)-COUNTA($C$54:E$54)+1))*(1+real_discount_rate),IF($B111=E$2,E$6,0))</f>
        <v>0</v>
      </c>
      <c r="F111" s="180" cm="1">
        <f t="array" aca="1" ref="F111" ca="1">IF(AND($B111=F$93,$B111=$B112-1),NPV(real_discount_rate,OFFSET(F72,,,,COUNTA($C$54:$BB$54)-COUNTA($C$54:F$54)+1)-OFFSET(F73,,,,COUNTA($C$54:$BB$54)-COUNTA($C$54:F$54)+1))*(1+real_discount_rate),IF($B111=F$2,F$6,0))</f>
        <v>0</v>
      </c>
      <c r="G111" s="180" cm="1">
        <f t="array" aca="1" ref="G111" ca="1">IF(AND($B111=G$93,$B111=$B112-1),NPV(real_discount_rate,OFFSET(G72,,,,COUNTA($C$54:$BB$54)-COUNTA($C$54:G$54)+1)-OFFSET(G73,,,,COUNTA($C$54:$BB$54)-COUNTA($C$54:G$54)+1))*(1+real_discount_rate),IF($B111=G$2,G$6,0))</f>
        <v>0</v>
      </c>
      <c r="H111" s="180" cm="1">
        <f t="array" aca="1" ref="H111" ca="1">IF(AND($B111=H$93,$B111=$B112-1),NPV(real_discount_rate,OFFSET(H72,,,,COUNTA($C$54:$BB$54)-COUNTA($C$54:H$54)+1)-OFFSET(H73,,,,COUNTA($C$54:$BB$54)-COUNTA($C$54:H$54)+1))*(1+real_discount_rate),IF($B111=H$2,H$6,0))</f>
        <v>0</v>
      </c>
      <c r="I111" s="180" cm="1">
        <f t="array" aca="1" ref="I111" ca="1">IF(AND($B111=I$93,$B111=$B112-1),NPV(real_discount_rate,OFFSET(I72,,,,COUNTA($C$54:$BB$54)-COUNTA($C$54:I$54)+1)-OFFSET(I73,,,,COUNTA($C$54:$BB$54)-COUNTA($C$54:I$54)+1))*(1+real_discount_rate),IF($B111=I$2,I$6,0))</f>
        <v>0</v>
      </c>
      <c r="J111" s="180" cm="1">
        <f t="array" aca="1" ref="J111" ca="1">IF(AND($B111=J$93,$B111=$B112-1),NPV(real_discount_rate,OFFSET(J72,,,,COUNTA($C$54:$BB$54)-COUNTA($C$54:J$54)+1)-OFFSET(J73,,,,COUNTA($C$54:$BB$54)-COUNTA($C$54:J$54)+1))*(1+real_discount_rate),IF($B111=J$2,J$6,0))</f>
        <v>0</v>
      </c>
      <c r="K111" s="180" cm="1">
        <f t="array" aca="1" ref="K111" ca="1">IF(AND($B111=K$93,$B111=$B112-1),NPV(real_discount_rate,OFFSET(K72,,,,COUNTA($C$54:$BB$54)-COUNTA($C$54:K$54)+1)-OFFSET(K73,,,,COUNTA($C$54:$BB$54)-COUNTA($C$54:K$54)+1))*(1+real_discount_rate),IF($B111=K$2,K$6,0))</f>
        <v>0</v>
      </c>
      <c r="L111" s="180" cm="1">
        <f t="array" aca="1" ref="L111" ca="1">IF(AND($B111=L$93,$B111=$B112-1),NPV(real_discount_rate,OFFSET(L72,,,,COUNTA($C$54:$BB$54)-COUNTA($C$54:L$54)+1)-OFFSET(L73,,,,COUNTA($C$54:$BB$54)-COUNTA($C$54:L$54)+1))*(1+real_discount_rate),IF($B111=L$2,L$6,0))</f>
        <v>0</v>
      </c>
      <c r="M111" s="180" cm="1">
        <f t="array" aca="1" ref="M111" ca="1">IF(AND($B111=M$93,$B111=$B112-1),NPV(real_discount_rate,OFFSET(M72,,,,COUNTA($C$54:$BB$54)-COUNTA($C$54:M$54)+1)-OFFSET(M73,,,,COUNTA($C$54:$BB$54)-COUNTA($C$54:M$54)+1))*(1+real_discount_rate),IF($B111=M$2,M$6,0))</f>
        <v>0</v>
      </c>
      <c r="N111" s="180" cm="1">
        <f t="array" aca="1" ref="N111" ca="1">IF(AND($B111=N$93,$B111=$B112-1),NPV(real_discount_rate,OFFSET(N72,,,,COUNTA($C$54:$BB$54)-COUNTA($C$54:N$54)+1)-OFFSET(N73,,,,COUNTA($C$54:$BB$54)-COUNTA($C$54:N$54)+1))*(1+real_discount_rate),IF($B111=N$2,N$6,0))</f>
        <v>0</v>
      </c>
      <c r="O111" s="180" cm="1">
        <f t="array" aca="1" ref="O111" ca="1">IF(AND($B111=O$93,$B111=$B112-1),NPV(real_discount_rate,OFFSET(O72,,,,COUNTA($C$54:$BB$54)-COUNTA($C$54:O$54)+1)-OFFSET(O73,,,,COUNTA($C$54:$BB$54)-COUNTA($C$54:O$54)+1))*(1+real_discount_rate),IF($B111=O$2,O$6,0))</f>
        <v>0</v>
      </c>
      <c r="P111" s="180" cm="1">
        <f t="array" aca="1" ref="P111" ca="1">IF(AND($B111=P$93,$B111=$B112-1),NPV(real_discount_rate,OFFSET(P72,,,,COUNTA($C$54:$BB$54)-COUNTA($C$54:P$54)+1)-OFFSET(P73,,,,COUNTA($C$54:$BB$54)-COUNTA($C$54:P$54)+1))*(1+real_discount_rate),IF($B111=P$2,P$6,0))</f>
        <v>0</v>
      </c>
      <c r="Q111" s="180" cm="1">
        <f t="array" aca="1" ref="Q111" ca="1">IF(AND($B111=Q$93,$B111=$B112-1),NPV(real_discount_rate,OFFSET(Q72,,,,COUNTA($C$54:$BB$54)-COUNTA($C$54:Q$54)+1)-OFFSET(Q73,,,,COUNTA($C$54:$BB$54)-COUNTA($C$54:Q$54)+1))*(1+real_discount_rate),IF($B111=Q$2,Q$6,0))</f>
        <v>0</v>
      </c>
      <c r="R111" s="180" cm="1">
        <f t="array" aca="1" ref="R111" ca="1">IF(AND($B111=R$93,$B111=$B112-1),NPV(real_discount_rate,OFFSET(R72,,,,COUNTA($C$54:$BB$54)-COUNTA($C$54:R$54)+1)-OFFSET(R73,,,,COUNTA($C$54:$BB$54)-COUNTA($C$54:R$54)+1))*(1+real_discount_rate),IF($B111=R$2,R$6,0))</f>
        <v>0</v>
      </c>
      <c r="S111" s="180" cm="1">
        <f t="array" aca="1" ref="S111" ca="1">IF(AND($B111=S$93,$B111=$B112-1),NPV(real_discount_rate,OFFSET(S72,,,,COUNTA($C$54:$BB$54)-COUNTA($C$54:S$54)+1)-OFFSET(S73,,,,COUNTA($C$54:$BB$54)-COUNTA($C$54:S$54)+1))*(1+real_discount_rate),IF($B111=S$2,S$6,0))</f>
        <v>0</v>
      </c>
      <c r="T111" s="180" cm="1">
        <f t="array" aca="1" ref="T111" ca="1">IF(AND($B111=T$93,$B111=$B112-1),NPV(real_discount_rate,OFFSET(T72,,,,COUNTA($C$54:$BB$54)-COUNTA($C$54:T$54)+1)-OFFSET(T73,,,,COUNTA($C$54:$BB$54)-COUNTA($C$54:T$54)+1))*(1+real_discount_rate),IF($B111=T$2,T$6,0))</f>
        <v>69.103115208282915</v>
      </c>
      <c r="U111" s="180" cm="1">
        <f t="array" aca="1" ref="U111" ca="1">IF(AND($B111=U$93,$B111=$B112-1),NPV(real_discount_rate,OFFSET(U72,,,,COUNTA($C$54:$BB$54)-COUNTA($C$54:U$54)+1)-OFFSET(U73,,,,COUNTA($C$54:$BB$54)-COUNTA($C$54:U$54)+1))*(1+real_discount_rate),IF($B111=U$2,U$6,0))</f>
        <v>0</v>
      </c>
      <c r="V111" s="180" cm="1">
        <f t="array" aca="1" ref="V111" ca="1">IF(AND($B111=V$93,$B111=$B112-1),NPV(real_discount_rate,OFFSET(V72,,,,COUNTA($C$54:$BB$54)-COUNTA($C$54:V$54)+1)-OFFSET(V73,,,,COUNTA($C$54:$BB$54)-COUNTA($C$54:V$54)+1))*(1+real_discount_rate),IF($B111=V$2,V$6,0))</f>
        <v>0</v>
      </c>
      <c r="W111" s="180" cm="1">
        <f t="array" aca="1" ref="W111" ca="1">IF(AND($B111=W$93,$B111=$B112-1),NPV(real_discount_rate,OFFSET(W72,,,,COUNTA($C$54:$BB$54)-COUNTA($C$54:W$54)+1)-OFFSET(W73,,,,COUNTA($C$54:$BB$54)-COUNTA($C$54:W$54)+1))*(1+real_discount_rate),IF($B111=W$2,W$6,0))</f>
        <v>0</v>
      </c>
      <c r="X111" s="180" cm="1">
        <f t="array" aca="1" ref="X111" ca="1">IF(AND($B111=X$93,$B111=$B112-1),NPV(real_discount_rate,OFFSET(X72,,,,COUNTA($C$54:$BB$54)-COUNTA($C$54:X$54)+1)-OFFSET(X73,,,,COUNTA($C$54:$BB$54)-COUNTA($C$54:X$54)+1))*(1+real_discount_rate),IF($B111=X$2,X$6,0))</f>
        <v>0</v>
      </c>
      <c r="Y111" s="180" cm="1">
        <f t="array" aca="1" ref="Y111" ca="1">IF(AND($B111=Y$93,$B111=$B112-1),NPV(real_discount_rate,OFFSET(Y72,,,,COUNTA($C$54:$BB$54)-COUNTA($C$54:Y$54)+1)-OFFSET(Y73,,,,COUNTA($C$54:$BB$54)-COUNTA($C$54:Y$54)+1))*(1+real_discount_rate),IF($B111=Y$2,Y$6,0))</f>
        <v>0</v>
      </c>
      <c r="Z111" s="180" cm="1">
        <f t="array" aca="1" ref="Z111" ca="1">IF(AND($B111=Z$93,$B111=$B112-1),NPV(real_discount_rate,OFFSET(Z72,,,,COUNTA($C$54:$BB$54)-COUNTA($C$54:Z$54)+1)-OFFSET(Z73,,,,COUNTA($C$54:$BB$54)-COUNTA($C$54:Z$54)+1))*(1+real_discount_rate),IF($B111=Z$2,Z$6,0))</f>
        <v>0</v>
      </c>
      <c r="AA111" s="180" cm="1">
        <f t="array" aca="1" ref="AA111" ca="1">IF(AND($B111=AA$93,$B111=$B112-1),NPV(real_discount_rate,OFFSET(AA72,,,,COUNTA($C$54:$BB$54)-COUNTA($C$54:AA$54)+1)-OFFSET(AA73,,,,COUNTA($C$54:$BB$54)-COUNTA($C$54:AA$54)+1))*(1+real_discount_rate),IF($B111=AA$2,AA$6,0))</f>
        <v>0</v>
      </c>
      <c r="AB111" s="180" cm="1">
        <f t="array" aca="1" ref="AB111" ca="1">IF(AND($B111=AB$93,$B111=$B112-1),NPV(real_discount_rate,OFFSET(AB72,,,,COUNTA($C$54:$BB$54)-COUNTA($C$54:AB$54)+1)-OFFSET(AB73,,,,COUNTA($C$54:$BB$54)-COUNTA($C$54:AB$54)+1))*(1+real_discount_rate),IF($B111=AB$2,AB$6,0))</f>
        <v>0</v>
      </c>
      <c r="AC111" s="180" cm="1">
        <f t="array" aca="1" ref="AC111" ca="1">IF(AND($B111=AC$93,$B111=$B112-1),NPV(real_discount_rate,OFFSET(AC72,,,,COUNTA($C$54:$BB$54)-COUNTA($C$54:AC$54)+1)-OFFSET(AC73,,,,COUNTA($C$54:$BB$54)-COUNTA($C$54:AC$54)+1))*(1+real_discount_rate),IF($B111=AC$2,AC$6,0))</f>
        <v>0</v>
      </c>
      <c r="AD111" s="180" cm="1">
        <f t="array" aca="1" ref="AD111" ca="1">IF(AND($B111=AD$93,$B111=$B112-1),NPV(real_discount_rate,OFFSET(AD72,,,,COUNTA($C$54:$BB$54)-COUNTA($C$54:AD$54)+1)-OFFSET(AD73,,,,COUNTA($C$54:$BB$54)-COUNTA($C$54:AD$54)+1))*(1+real_discount_rate),IF($B111=AD$2,AD$6,0))</f>
        <v>0</v>
      </c>
      <c r="AE111" s="180" cm="1">
        <f t="array" aca="1" ref="AE111" ca="1">IF(AND($B111=AE$93,$B111=$B112-1),NPV(real_discount_rate,OFFSET(AE72,,,,COUNTA($C$54:$BB$54)-COUNTA($C$54:AE$54)+1)-OFFSET(AE73,,,,COUNTA($C$54:$BB$54)-COUNTA($C$54:AE$54)+1))*(1+real_discount_rate),IF($B111=AE$2,AE$6,0))</f>
        <v>0</v>
      </c>
      <c r="AF111" s="180" cm="1">
        <f t="array" aca="1" ref="AF111" ca="1">IF(AND($B111=AF$93,$B111=$B112-1),NPV(real_discount_rate,OFFSET(AF72,,,,COUNTA($C$54:$BB$54)-COUNTA($C$54:AF$54)+1)-OFFSET(AF73,,,,COUNTA($C$54:$BB$54)-COUNTA($C$54:AF$54)+1))*(1+real_discount_rate),IF($B111=AF$2,AF$6,0))</f>
        <v>0</v>
      </c>
      <c r="AG111" s="180" cm="1">
        <f t="array" aca="1" ref="AG111" ca="1">IF(AND($B111=AG$93,$B111=$B112-1),NPV(real_discount_rate,OFFSET(AG72,,,,COUNTA($C$54:$BB$54)-COUNTA($C$54:AG$54)+1)-OFFSET(AG73,,,,COUNTA($C$54:$BB$54)-COUNTA($C$54:AG$54)+1))*(1+real_discount_rate),IF($B111=AG$2,AG$6,0))</f>
        <v>0</v>
      </c>
      <c r="AH111" s="649" cm="1">
        <f t="array" aca="1" ref="AH111" ca="1">IF(AND($B111=AH$93,$B111=$B112-1),NPV(real_discount_rate,OFFSET(AH72,,,,COUNTA($C$54:$BB$54)-COUNTA($C$54:AH$54)+1)-OFFSET(AH73,,,,COUNTA($C$54:$BB$54)-COUNTA($C$54:AH$54)+1))*(1+real_discount_rate),IF($B111=AH$2,AH$6,0))</f>
        <v>0</v>
      </c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182"/>
      <c r="BC111" s="410"/>
    </row>
    <row r="112" spans="2:55" x14ac:dyDescent="0.3">
      <c r="B112" s="28">
        <v>2039</v>
      </c>
      <c r="C112" s="179" cm="1">
        <f t="array" aca="1" ref="C112" ca="1">IF(AND($B112=C$93,$B112=$B113-1),NPV(real_discount_rate,OFFSET(C73,,,,COUNTA($C$54:$BB$54)-COUNTA($C$54:C$54)+1)-OFFSET(C74,,,,COUNTA($C$54:$BB$54)-COUNTA($C$54:C$54)+1))*(1+real_discount_rate),IF($B112=C$2,C$6,0))</f>
        <v>0</v>
      </c>
      <c r="D112" s="180" cm="1">
        <f t="array" aca="1" ref="D112" ca="1">IF(AND($B112=D$93,$B112=$B113-1),NPV(real_discount_rate,OFFSET(D73,,,,COUNTA($C$54:$BB$54)-COUNTA($C$54:D$54)+1)-OFFSET(D74,,,,COUNTA($C$54:$BB$54)-COUNTA($C$54:D$54)+1))*(1+real_discount_rate),IF($B112=D$2,D$6,0))</f>
        <v>0</v>
      </c>
      <c r="E112" s="180" cm="1">
        <f t="array" aca="1" ref="E112" ca="1">IF(AND($B112=E$93,$B112=$B113-1),NPV(real_discount_rate,OFFSET(E73,,,,COUNTA($C$54:$BB$54)-COUNTA($C$54:E$54)+1)-OFFSET(E74,,,,COUNTA($C$54:$BB$54)-COUNTA($C$54:E$54)+1))*(1+real_discount_rate),IF($B112=E$2,E$6,0))</f>
        <v>0</v>
      </c>
      <c r="F112" s="180" cm="1">
        <f t="array" aca="1" ref="F112" ca="1">IF(AND($B112=F$93,$B112=$B113-1),NPV(real_discount_rate,OFFSET(F73,,,,COUNTA($C$54:$BB$54)-COUNTA($C$54:F$54)+1)-OFFSET(F74,,,,COUNTA($C$54:$BB$54)-COUNTA($C$54:F$54)+1))*(1+real_discount_rate),IF($B112=F$2,F$6,0))</f>
        <v>0</v>
      </c>
      <c r="G112" s="180" cm="1">
        <f t="array" aca="1" ref="G112" ca="1">IF(AND($B112=G$93,$B112=$B113-1),NPV(real_discount_rate,OFFSET(G73,,,,COUNTA($C$54:$BB$54)-COUNTA($C$54:G$54)+1)-OFFSET(G74,,,,COUNTA($C$54:$BB$54)-COUNTA($C$54:G$54)+1))*(1+real_discount_rate),IF($B112=G$2,G$6,0))</f>
        <v>0</v>
      </c>
      <c r="H112" s="180" cm="1">
        <f t="array" aca="1" ref="H112" ca="1">IF(AND($B112=H$93,$B112=$B113-1),NPV(real_discount_rate,OFFSET(H73,,,,COUNTA($C$54:$BB$54)-COUNTA($C$54:H$54)+1)-OFFSET(H74,,,,COUNTA($C$54:$BB$54)-COUNTA($C$54:H$54)+1))*(1+real_discount_rate),IF($B112=H$2,H$6,0))</f>
        <v>0</v>
      </c>
      <c r="I112" s="180" cm="1">
        <f t="array" aca="1" ref="I112" ca="1">IF(AND($B112=I$93,$B112=$B113-1),NPV(real_discount_rate,OFFSET(I73,,,,COUNTA($C$54:$BB$54)-COUNTA($C$54:I$54)+1)-OFFSET(I74,,,,COUNTA($C$54:$BB$54)-COUNTA($C$54:I$54)+1))*(1+real_discount_rate),IF($B112=I$2,I$6,0))</f>
        <v>0</v>
      </c>
      <c r="J112" s="180" cm="1">
        <f t="array" aca="1" ref="J112" ca="1">IF(AND($B112=J$93,$B112=$B113-1),NPV(real_discount_rate,OFFSET(J73,,,,COUNTA($C$54:$BB$54)-COUNTA($C$54:J$54)+1)-OFFSET(J74,,,,COUNTA($C$54:$BB$54)-COUNTA($C$54:J$54)+1))*(1+real_discount_rate),IF($B112=J$2,J$6,0))</f>
        <v>0</v>
      </c>
      <c r="K112" s="180" cm="1">
        <f t="array" aca="1" ref="K112" ca="1">IF(AND($B112=K$93,$B112=$B113-1),NPV(real_discount_rate,OFFSET(K73,,,,COUNTA($C$54:$BB$54)-COUNTA($C$54:K$54)+1)-OFFSET(K74,,,,COUNTA($C$54:$BB$54)-COUNTA($C$54:K$54)+1))*(1+real_discount_rate),IF($B112=K$2,K$6,0))</f>
        <v>0</v>
      </c>
      <c r="L112" s="180" cm="1">
        <f t="array" aca="1" ref="L112" ca="1">IF(AND($B112=L$93,$B112=$B113-1),NPV(real_discount_rate,OFFSET(L73,,,,COUNTA($C$54:$BB$54)-COUNTA($C$54:L$54)+1)-OFFSET(L74,,,,COUNTA($C$54:$BB$54)-COUNTA($C$54:L$54)+1))*(1+real_discount_rate),IF($B112=L$2,L$6,0))</f>
        <v>0</v>
      </c>
      <c r="M112" s="180" cm="1">
        <f t="array" aca="1" ref="M112" ca="1">IF(AND($B112=M$93,$B112=$B113-1),NPV(real_discount_rate,OFFSET(M73,,,,COUNTA($C$54:$BB$54)-COUNTA($C$54:M$54)+1)-OFFSET(M74,,,,COUNTA($C$54:$BB$54)-COUNTA($C$54:M$54)+1))*(1+real_discount_rate),IF($B112=M$2,M$6,0))</f>
        <v>0</v>
      </c>
      <c r="N112" s="180" cm="1">
        <f t="array" aca="1" ref="N112" ca="1">IF(AND($B112=N$93,$B112=$B113-1),NPV(real_discount_rate,OFFSET(N73,,,,COUNTA($C$54:$BB$54)-COUNTA($C$54:N$54)+1)-OFFSET(N74,,,,COUNTA($C$54:$BB$54)-COUNTA($C$54:N$54)+1))*(1+real_discount_rate),IF($B112=N$2,N$6,0))</f>
        <v>0</v>
      </c>
      <c r="O112" s="180" cm="1">
        <f t="array" aca="1" ref="O112" ca="1">IF(AND($B112=O$93,$B112=$B113-1),NPV(real_discount_rate,OFFSET(O73,,,,COUNTA($C$54:$BB$54)-COUNTA($C$54:O$54)+1)-OFFSET(O74,,,,COUNTA($C$54:$BB$54)-COUNTA($C$54:O$54)+1))*(1+real_discount_rate),IF($B112=O$2,O$6,0))</f>
        <v>0</v>
      </c>
      <c r="P112" s="180" cm="1">
        <f t="array" aca="1" ref="P112" ca="1">IF(AND($B112=P$93,$B112=$B113-1),NPV(real_discount_rate,OFFSET(P73,,,,COUNTA($C$54:$BB$54)-COUNTA($C$54:P$54)+1)-OFFSET(P74,,,,COUNTA($C$54:$BB$54)-COUNTA($C$54:P$54)+1))*(1+real_discount_rate),IF($B112=P$2,P$6,0))</f>
        <v>0</v>
      </c>
      <c r="Q112" s="180" cm="1">
        <f t="array" aca="1" ref="Q112" ca="1">IF(AND($B112=Q$93,$B112=$B113-1),NPV(real_discount_rate,OFFSET(Q73,,,,COUNTA($C$54:$BB$54)-COUNTA($C$54:Q$54)+1)-OFFSET(Q74,,,,COUNTA($C$54:$BB$54)-COUNTA($C$54:Q$54)+1))*(1+real_discount_rate),IF($B112=Q$2,Q$6,0))</f>
        <v>0</v>
      </c>
      <c r="R112" s="180" cm="1">
        <f t="array" aca="1" ref="R112" ca="1">IF(AND($B112=R$93,$B112=$B113-1),NPV(real_discount_rate,OFFSET(R73,,,,COUNTA($C$54:$BB$54)-COUNTA($C$54:R$54)+1)-OFFSET(R74,,,,COUNTA($C$54:$BB$54)-COUNTA($C$54:R$54)+1))*(1+real_discount_rate),IF($B112=R$2,R$6,0))</f>
        <v>0</v>
      </c>
      <c r="S112" s="180" cm="1">
        <f t="array" aca="1" ref="S112" ca="1">IF(AND($B112=S$93,$B112=$B113-1),NPV(real_discount_rate,OFFSET(S73,,,,COUNTA($C$54:$BB$54)-COUNTA($C$54:S$54)+1)-OFFSET(S74,,,,COUNTA($C$54:$BB$54)-COUNTA($C$54:S$54)+1))*(1+real_discount_rate),IF($B112=S$2,S$6,0))</f>
        <v>0</v>
      </c>
      <c r="T112" s="180" cm="1">
        <f t="array" aca="1" ref="T112" ca="1">IF(AND($B112=T$93,$B112=$B113-1),NPV(real_discount_rate,OFFSET(T73,,,,COUNTA($C$54:$BB$54)-COUNTA($C$54:T$54)+1)-OFFSET(T74,,,,COUNTA($C$54:$BB$54)-COUNTA($C$54:T$54)+1))*(1+real_discount_rate),IF($B112=T$2,T$6,0))</f>
        <v>0</v>
      </c>
      <c r="U112" s="180" cm="1">
        <f t="array" aca="1" ref="U112" ca="1">IF(AND($B112=U$93,$B112=$B113-1),NPV(real_discount_rate,OFFSET(U73,,,,COUNTA($C$54:$BB$54)-COUNTA($C$54:U$54)+1)-OFFSET(U74,,,,COUNTA($C$54:$BB$54)-COUNTA($C$54:U$54)+1))*(1+real_discount_rate),IF($B112=U$2,U$6,0))</f>
        <v>74.765691464425942</v>
      </c>
      <c r="V112" s="180" cm="1">
        <f t="array" aca="1" ref="V112" ca="1">IF(AND($B112=V$93,$B112=$B113-1),NPV(real_discount_rate,OFFSET(V73,,,,COUNTA($C$54:$BB$54)-COUNTA($C$54:V$54)+1)-OFFSET(V74,,,,COUNTA($C$54:$BB$54)-COUNTA($C$54:V$54)+1))*(1+real_discount_rate),IF($B112=V$2,V$6,0))</f>
        <v>0</v>
      </c>
      <c r="W112" s="180" cm="1">
        <f t="array" aca="1" ref="W112" ca="1">IF(AND($B112=W$93,$B112=$B113-1),NPV(real_discount_rate,OFFSET(W73,,,,COUNTA($C$54:$BB$54)-COUNTA($C$54:W$54)+1)-OFFSET(W74,,,,COUNTA($C$54:$BB$54)-COUNTA($C$54:W$54)+1))*(1+real_discount_rate),IF($B112=W$2,W$6,0))</f>
        <v>0</v>
      </c>
      <c r="X112" s="180" cm="1">
        <f t="array" aca="1" ref="X112" ca="1">IF(AND($B112=X$93,$B112=$B113-1),NPV(real_discount_rate,OFFSET(X73,,,,COUNTA($C$54:$BB$54)-COUNTA($C$54:X$54)+1)-OFFSET(X74,,,,COUNTA($C$54:$BB$54)-COUNTA($C$54:X$54)+1))*(1+real_discount_rate),IF($B112=X$2,X$6,0))</f>
        <v>0</v>
      </c>
      <c r="Y112" s="180" cm="1">
        <f t="array" aca="1" ref="Y112" ca="1">IF(AND($B112=Y$93,$B112=$B113-1),NPV(real_discount_rate,OFFSET(Y73,,,,COUNTA($C$54:$BB$54)-COUNTA($C$54:Y$54)+1)-OFFSET(Y74,,,,COUNTA($C$54:$BB$54)-COUNTA($C$54:Y$54)+1))*(1+real_discount_rate),IF($B112=Y$2,Y$6,0))</f>
        <v>0</v>
      </c>
      <c r="Z112" s="180" cm="1">
        <f t="array" aca="1" ref="Z112" ca="1">IF(AND($B112=Z$93,$B112=$B113-1),NPV(real_discount_rate,OFFSET(Z73,,,,COUNTA($C$54:$BB$54)-COUNTA($C$54:Z$54)+1)-OFFSET(Z74,,,,COUNTA($C$54:$BB$54)-COUNTA($C$54:Z$54)+1))*(1+real_discount_rate),IF($B112=Z$2,Z$6,0))</f>
        <v>0</v>
      </c>
      <c r="AA112" s="180" cm="1">
        <f t="array" aca="1" ref="AA112" ca="1">IF(AND($B112=AA$93,$B112=$B113-1),NPV(real_discount_rate,OFFSET(AA73,,,,COUNTA($C$54:$BB$54)-COUNTA($C$54:AA$54)+1)-OFFSET(AA74,,,,COUNTA($C$54:$BB$54)-COUNTA($C$54:AA$54)+1))*(1+real_discount_rate),IF($B112=AA$2,AA$6,0))</f>
        <v>0</v>
      </c>
      <c r="AB112" s="180" cm="1">
        <f t="array" aca="1" ref="AB112" ca="1">IF(AND($B112=AB$93,$B112=$B113-1),NPV(real_discount_rate,OFFSET(AB73,,,,COUNTA($C$54:$BB$54)-COUNTA($C$54:AB$54)+1)-OFFSET(AB74,,,,COUNTA($C$54:$BB$54)-COUNTA($C$54:AB$54)+1))*(1+real_discount_rate),IF($B112=AB$2,AB$6,0))</f>
        <v>0</v>
      </c>
      <c r="AC112" s="180" cm="1">
        <f t="array" aca="1" ref="AC112" ca="1">IF(AND($B112=AC$93,$B112=$B113-1),NPV(real_discount_rate,OFFSET(AC73,,,,COUNTA($C$54:$BB$54)-COUNTA($C$54:AC$54)+1)-OFFSET(AC74,,,,COUNTA($C$54:$BB$54)-COUNTA($C$54:AC$54)+1))*(1+real_discount_rate),IF($B112=AC$2,AC$6,0))</f>
        <v>0</v>
      </c>
      <c r="AD112" s="180" cm="1">
        <f t="array" aca="1" ref="AD112" ca="1">IF(AND($B112=AD$93,$B112=$B113-1),NPV(real_discount_rate,OFFSET(AD73,,,,COUNTA($C$54:$BB$54)-COUNTA($C$54:AD$54)+1)-OFFSET(AD74,,,,COUNTA($C$54:$BB$54)-COUNTA($C$54:AD$54)+1))*(1+real_discount_rate),IF($B112=AD$2,AD$6,0))</f>
        <v>0</v>
      </c>
      <c r="AE112" s="180" cm="1">
        <f t="array" aca="1" ref="AE112" ca="1">IF(AND($B112=AE$93,$B112=$B113-1),NPV(real_discount_rate,OFFSET(AE73,,,,COUNTA($C$54:$BB$54)-COUNTA($C$54:AE$54)+1)-OFFSET(AE74,,,,COUNTA($C$54:$BB$54)-COUNTA($C$54:AE$54)+1))*(1+real_discount_rate),IF($B112=AE$2,AE$6,0))</f>
        <v>0</v>
      </c>
      <c r="AF112" s="180" cm="1">
        <f t="array" aca="1" ref="AF112" ca="1">IF(AND($B112=AF$93,$B112=$B113-1),NPV(real_discount_rate,OFFSET(AF73,,,,COUNTA($C$54:$BB$54)-COUNTA($C$54:AF$54)+1)-OFFSET(AF74,,,,COUNTA($C$54:$BB$54)-COUNTA($C$54:AF$54)+1))*(1+real_discount_rate),IF($B112=AF$2,AF$6,0))</f>
        <v>0</v>
      </c>
      <c r="AG112" s="180" cm="1">
        <f t="array" aca="1" ref="AG112" ca="1">IF(AND($B112=AG$93,$B112=$B113-1),NPV(real_discount_rate,OFFSET(AG73,,,,COUNTA($C$54:$BB$54)-COUNTA($C$54:AG$54)+1)-OFFSET(AG74,,,,COUNTA($C$54:$BB$54)-COUNTA($C$54:AG$54)+1))*(1+real_discount_rate),IF($B112=AG$2,AG$6,0))</f>
        <v>0</v>
      </c>
      <c r="AH112" s="649" cm="1">
        <f t="array" aca="1" ref="AH112" ca="1">IF(AND($B112=AH$93,$B112=$B113-1),NPV(real_discount_rate,OFFSET(AH73,,,,COUNTA($C$54:$BB$54)-COUNTA($C$54:AH$54)+1)-OFFSET(AH74,,,,COUNTA($C$54:$BB$54)-COUNTA($C$54:AH$54)+1))*(1+real_discount_rate),IF($B112=AH$2,AH$6,0))</f>
        <v>0</v>
      </c>
      <c r="AI112" s="653"/>
      <c r="AJ112" s="653"/>
      <c r="AK112" s="653"/>
      <c r="AL112" s="653"/>
      <c r="AM112" s="653"/>
      <c r="AN112" s="653"/>
      <c r="AO112" s="653"/>
      <c r="AP112" s="653"/>
      <c r="AQ112" s="653"/>
      <c r="AR112" s="653"/>
      <c r="AS112" s="653"/>
      <c r="AT112" s="653"/>
      <c r="AU112" s="653"/>
      <c r="AV112" s="653"/>
      <c r="AW112" s="653"/>
      <c r="AX112" s="653"/>
      <c r="AY112" s="653"/>
      <c r="AZ112" s="653"/>
      <c r="BA112" s="653"/>
      <c r="BB112" s="182"/>
      <c r="BC112" s="410"/>
    </row>
    <row r="113" spans="2:55" x14ac:dyDescent="0.3">
      <c r="B113" s="28">
        <v>2040</v>
      </c>
      <c r="C113" s="179" cm="1">
        <f t="array" aca="1" ref="C113" ca="1">IF(AND($B113=C$93,$B113=$B114-1),NPV(real_discount_rate,OFFSET(C74,,,,COUNTA($C$54:$BB$54)-COUNTA($C$54:C$54)+1)-OFFSET(C75,,,,COUNTA($C$54:$BB$54)-COUNTA($C$54:C$54)+1))*(1+real_discount_rate),IF($B113=C$2,C$6,0))</f>
        <v>0</v>
      </c>
      <c r="D113" s="180" cm="1">
        <f t="array" aca="1" ref="D113" ca="1">IF(AND($B113=D$93,$B113=$B114-1),NPV(real_discount_rate,OFFSET(D74,,,,COUNTA($C$54:$BB$54)-COUNTA($C$54:D$54)+1)-OFFSET(D75,,,,COUNTA($C$54:$BB$54)-COUNTA($C$54:D$54)+1))*(1+real_discount_rate),IF($B113=D$2,D$6,0))</f>
        <v>0</v>
      </c>
      <c r="E113" s="180" cm="1">
        <f t="array" aca="1" ref="E113" ca="1">IF(AND($B113=E$93,$B113=$B114-1),NPV(real_discount_rate,OFFSET(E74,,,,COUNTA($C$54:$BB$54)-COUNTA($C$54:E$54)+1)-OFFSET(E75,,,,COUNTA($C$54:$BB$54)-COUNTA($C$54:E$54)+1))*(1+real_discount_rate),IF($B113=E$2,E$6,0))</f>
        <v>0</v>
      </c>
      <c r="F113" s="180" cm="1">
        <f t="array" aca="1" ref="F113" ca="1">IF(AND($B113=F$93,$B113=$B114-1),NPV(real_discount_rate,OFFSET(F74,,,,COUNTA($C$54:$BB$54)-COUNTA($C$54:F$54)+1)-OFFSET(F75,,,,COUNTA($C$54:$BB$54)-COUNTA($C$54:F$54)+1))*(1+real_discount_rate),IF($B113=F$2,F$6,0))</f>
        <v>0</v>
      </c>
      <c r="G113" s="180" cm="1">
        <f t="array" aca="1" ref="G113" ca="1">IF(AND($B113=G$93,$B113=$B114-1),NPV(real_discount_rate,OFFSET(G74,,,,COUNTA($C$54:$BB$54)-COUNTA($C$54:G$54)+1)-OFFSET(G75,,,,COUNTA($C$54:$BB$54)-COUNTA($C$54:G$54)+1))*(1+real_discount_rate),IF($B113=G$2,G$6,0))</f>
        <v>0</v>
      </c>
      <c r="H113" s="180" cm="1">
        <f t="array" aca="1" ref="H113" ca="1">IF(AND($B113=H$93,$B113=$B114-1),NPV(real_discount_rate,OFFSET(H74,,,,COUNTA($C$54:$BB$54)-COUNTA($C$54:H$54)+1)-OFFSET(H75,,,,COUNTA($C$54:$BB$54)-COUNTA($C$54:H$54)+1))*(1+real_discount_rate),IF($B113=H$2,H$6,0))</f>
        <v>0</v>
      </c>
      <c r="I113" s="180" cm="1">
        <f t="array" aca="1" ref="I113" ca="1">IF(AND($B113=I$93,$B113=$B114-1),NPV(real_discount_rate,OFFSET(I74,,,,COUNTA($C$54:$BB$54)-COUNTA($C$54:I$54)+1)-OFFSET(I75,,,,COUNTA($C$54:$BB$54)-COUNTA($C$54:I$54)+1))*(1+real_discount_rate),IF($B113=I$2,I$6,0))</f>
        <v>0</v>
      </c>
      <c r="J113" s="180" cm="1">
        <f t="array" aca="1" ref="J113" ca="1">IF(AND($B113=J$93,$B113=$B114-1),NPV(real_discount_rate,OFFSET(J74,,,,COUNTA($C$54:$BB$54)-COUNTA($C$54:J$54)+1)-OFFSET(J75,,,,COUNTA($C$54:$BB$54)-COUNTA($C$54:J$54)+1))*(1+real_discount_rate),IF($B113=J$2,J$6,0))</f>
        <v>0</v>
      </c>
      <c r="K113" s="180" cm="1">
        <f t="array" aca="1" ref="K113" ca="1">IF(AND($B113=K$93,$B113=$B114-1),NPV(real_discount_rate,OFFSET(K74,,,,COUNTA($C$54:$BB$54)-COUNTA($C$54:K$54)+1)-OFFSET(K75,,,,COUNTA($C$54:$BB$54)-COUNTA($C$54:K$54)+1))*(1+real_discount_rate),IF($B113=K$2,K$6,0))</f>
        <v>0</v>
      </c>
      <c r="L113" s="180" cm="1">
        <f t="array" aca="1" ref="L113" ca="1">IF(AND($B113=L$93,$B113=$B114-1),NPV(real_discount_rate,OFFSET(L74,,,,COUNTA($C$54:$BB$54)-COUNTA($C$54:L$54)+1)-OFFSET(L75,,,,COUNTA($C$54:$BB$54)-COUNTA($C$54:L$54)+1))*(1+real_discount_rate),IF($B113=L$2,L$6,0))</f>
        <v>0</v>
      </c>
      <c r="M113" s="180" cm="1">
        <f t="array" aca="1" ref="M113" ca="1">IF(AND($B113=M$93,$B113=$B114-1),NPV(real_discount_rate,OFFSET(M74,,,,COUNTA($C$54:$BB$54)-COUNTA($C$54:M$54)+1)-OFFSET(M75,,,,COUNTA($C$54:$BB$54)-COUNTA($C$54:M$54)+1))*(1+real_discount_rate),IF($B113=M$2,M$6,0))</f>
        <v>0</v>
      </c>
      <c r="N113" s="180" cm="1">
        <f t="array" aca="1" ref="N113" ca="1">IF(AND($B113=N$93,$B113=$B114-1),NPV(real_discount_rate,OFFSET(N74,,,,COUNTA($C$54:$BB$54)-COUNTA($C$54:N$54)+1)-OFFSET(N75,,,,COUNTA($C$54:$BB$54)-COUNTA($C$54:N$54)+1))*(1+real_discount_rate),IF($B113=N$2,N$6,0))</f>
        <v>0</v>
      </c>
      <c r="O113" s="180" cm="1">
        <f t="array" aca="1" ref="O113" ca="1">IF(AND($B113=O$93,$B113=$B114-1),NPV(real_discount_rate,OFFSET(O74,,,,COUNTA($C$54:$BB$54)-COUNTA($C$54:O$54)+1)-OFFSET(O75,,,,COUNTA($C$54:$BB$54)-COUNTA($C$54:O$54)+1))*(1+real_discount_rate),IF($B113=O$2,O$6,0))</f>
        <v>0</v>
      </c>
      <c r="P113" s="180" cm="1">
        <f t="array" aca="1" ref="P113" ca="1">IF(AND($B113=P$93,$B113=$B114-1),NPV(real_discount_rate,OFFSET(P74,,,,COUNTA($C$54:$BB$54)-COUNTA($C$54:P$54)+1)-OFFSET(P75,,,,COUNTA($C$54:$BB$54)-COUNTA($C$54:P$54)+1))*(1+real_discount_rate),IF($B113=P$2,P$6,0))</f>
        <v>0</v>
      </c>
      <c r="Q113" s="180" cm="1">
        <f t="array" aca="1" ref="Q113" ca="1">IF(AND($B113=Q$93,$B113=$B114-1),NPV(real_discount_rate,OFFSET(Q74,,,,COUNTA($C$54:$BB$54)-COUNTA($C$54:Q$54)+1)-OFFSET(Q75,,,,COUNTA($C$54:$BB$54)-COUNTA($C$54:Q$54)+1))*(1+real_discount_rate),IF($B113=Q$2,Q$6,0))</f>
        <v>0</v>
      </c>
      <c r="R113" s="180" cm="1">
        <f t="array" aca="1" ref="R113" ca="1">IF(AND($B113=R$93,$B113=$B114-1),NPV(real_discount_rate,OFFSET(R74,,,,COUNTA($C$54:$BB$54)-COUNTA($C$54:R$54)+1)-OFFSET(R75,,,,COUNTA($C$54:$BB$54)-COUNTA($C$54:R$54)+1))*(1+real_discount_rate),IF($B113=R$2,R$6,0))</f>
        <v>0</v>
      </c>
      <c r="S113" s="180" cm="1">
        <f t="array" aca="1" ref="S113" ca="1">IF(AND($B113=S$93,$B113=$B114-1),NPV(real_discount_rate,OFFSET(S74,,,,COUNTA($C$54:$BB$54)-COUNTA($C$54:S$54)+1)-OFFSET(S75,,,,COUNTA($C$54:$BB$54)-COUNTA($C$54:S$54)+1))*(1+real_discount_rate),IF($B113=S$2,S$6,0))</f>
        <v>0</v>
      </c>
      <c r="T113" s="180" cm="1">
        <f t="array" aca="1" ref="T113" ca="1">IF(AND($B113=T$93,$B113=$B114-1),NPV(real_discount_rate,OFFSET(T74,,,,COUNTA($C$54:$BB$54)-COUNTA($C$54:T$54)+1)-OFFSET(T75,,,,COUNTA($C$54:$BB$54)-COUNTA($C$54:T$54)+1))*(1+real_discount_rate),IF($B113=T$2,T$6,0))</f>
        <v>0</v>
      </c>
      <c r="U113" s="180" cm="1">
        <f t="array" aca="1" ref="U113" ca="1">IF(AND($B113=U$93,$B113=$B114-1),NPV(real_discount_rate,OFFSET(U74,,,,COUNTA($C$54:$BB$54)-COUNTA($C$54:U$54)+1)-OFFSET(U75,,,,COUNTA($C$54:$BB$54)-COUNTA($C$54:U$54)+1))*(1+real_discount_rate),IF($B113=U$2,U$6,0))</f>
        <v>0</v>
      </c>
      <c r="V113" s="180" cm="1">
        <f t="array" aca="1" ref="V113" ca="1">IF(AND($B113=V$93,$B113=$B114-1),NPV(real_discount_rate,OFFSET(V74,,,,COUNTA($C$54:$BB$54)-COUNTA($C$54:V$54)+1)-OFFSET(V75,,,,COUNTA($C$54:$BB$54)-COUNTA($C$54:V$54)+1))*(1+real_discount_rate),IF($B113=V$2,V$6,0))</f>
        <v>73.128586183683495</v>
      </c>
      <c r="W113" s="180" cm="1">
        <f t="array" aca="1" ref="W113" ca="1">IF(AND($B113=W$93,$B113=$B114-1),NPV(real_discount_rate,OFFSET(W74,,,,COUNTA($C$54:$BB$54)-COUNTA($C$54:W$54)+1)-OFFSET(W75,,,,COUNTA($C$54:$BB$54)-COUNTA($C$54:W$54)+1))*(1+real_discount_rate),IF($B113=W$2,W$6,0))</f>
        <v>0</v>
      </c>
      <c r="X113" s="180" cm="1">
        <f t="array" aca="1" ref="X113" ca="1">IF(AND($B113=X$93,$B113=$B114-1),NPV(real_discount_rate,OFFSET(X74,,,,COUNTA($C$54:$BB$54)-COUNTA($C$54:X$54)+1)-OFFSET(X75,,,,COUNTA($C$54:$BB$54)-COUNTA($C$54:X$54)+1))*(1+real_discount_rate),IF($B113=X$2,X$6,0))</f>
        <v>0</v>
      </c>
      <c r="Y113" s="180" cm="1">
        <f t="array" aca="1" ref="Y113" ca="1">IF(AND($B113=Y$93,$B113=$B114-1),NPV(real_discount_rate,OFFSET(Y74,,,,COUNTA($C$54:$BB$54)-COUNTA($C$54:Y$54)+1)-OFFSET(Y75,,,,COUNTA($C$54:$BB$54)-COUNTA($C$54:Y$54)+1))*(1+real_discount_rate),IF($B113=Y$2,Y$6,0))</f>
        <v>0</v>
      </c>
      <c r="Z113" s="180" cm="1">
        <f t="array" aca="1" ref="Z113" ca="1">IF(AND($B113=Z$93,$B113=$B114-1),NPV(real_discount_rate,OFFSET(Z74,,,,COUNTA($C$54:$BB$54)-COUNTA($C$54:Z$54)+1)-OFFSET(Z75,,,,COUNTA($C$54:$BB$54)-COUNTA($C$54:Z$54)+1))*(1+real_discount_rate),IF($B113=Z$2,Z$6,0))</f>
        <v>0</v>
      </c>
      <c r="AA113" s="180" cm="1">
        <f t="array" aca="1" ref="AA113" ca="1">IF(AND($B113=AA$93,$B113=$B114-1),NPV(real_discount_rate,OFFSET(AA74,,,,COUNTA($C$54:$BB$54)-COUNTA($C$54:AA$54)+1)-OFFSET(AA75,,,,COUNTA($C$54:$BB$54)-COUNTA($C$54:AA$54)+1))*(1+real_discount_rate),IF($B113=AA$2,AA$6,0))</f>
        <v>0</v>
      </c>
      <c r="AB113" s="180" cm="1">
        <f t="array" aca="1" ref="AB113" ca="1">IF(AND($B113=AB$93,$B113=$B114-1),NPV(real_discount_rate,OFFSET(AB74,,,,COUNTA($C$54:$BB$54)-COUNTA($C$54:AB$54)+1)-OFFSET(AB75,,,,COUNTA($C$54:$BB$54)-COUNTA($C$54:AB$54)+1))*(1+real_discount_rate),IF($B113=AB$2,AB$6,0))</f>
        <v>0</v>
      </c>
      <c r="AC113" s="180" cm="1">
        <f t="array" aca="1" ref="AC113" ca="1">IF(AND($B113=AC$93,$B113=$B114-1),NPV(real_discount_rate,OFFSET(AC74,,,,COUNTA($C$54:$BB$54)-COUNTA($C$54:AC$54)+1)-OFFSET(AC75,,,,COUNTA($C$54:$BB$54)-COUNTA($C$54:AC$54)+1))*(1+real_discount_rate),IF($B113=AC$2,AC$6,0))</f>
        <v>0</v>
      </c>
      <c r="AD113" s="180" cm="1">
        <f t="array" aca="1" ref="AD113" ca="1">IF(AND($B113=AD$93,$B113=$B114-1),NPV(real_discount_rate,OFFSET(AD74,,,,COUNTA($C$54:$BB$54)-COUNTA($C$54:AD$54)+1)-OFFSET(AD75,,,,COUNTA($C$54:$BB$54)-COUNTA($C$54:AD$54)+1))*(1+real_discount_rate),IF($B113=AD$2,AD$6,0))</f>
        <v>0</v>
      </c>
      <c r="AE113" s="180" cm="1">
        <f t="array" aca="1" ref="AE113" ca="1">IF(AND($B113=AE$93,$B113=$B114-1),NPV(real_discount_rate,OFFSET(AE74,,,,COUNTA($C$54:$BB$54)-COUNTA($C$54:AE$54)+1)-OFFSET(AE75,,,,COUNTA($C$54:$BB$54)-COUNTA($C$54:AE$54)+1))*(1+real_discount_rate),IF($B113=AE$2,AE$6,0))</f>
        <v>0</v>
      </c>
      <c r="AF113" s="180" cm="1">
        <f t="array" aca="1" ref="AF113" ca="1">IF(AND($B113=AF$93,$B113=$B114-1),NPV(real_discount_rate,OFFSET(AF74,,,,COUNTA($C$54:$BB$54)-COUNTA($C$54:AF$54)+1)-OFFSET(AF75,,,,COUNTA($C$54:$BB$54)-COUNTA($C$54:AF$54)+1))*(1+real_discount_rate),IF($B113=AF$2,AF$6,0))</f>
        <v>0</v>
      </c>
      <c r="AG113" s="180" cm="1">
        <f t="array" aca="1" ref="AG113" ca="1">IF(AND($B113=AG$93,$B113=$B114-1),NPV(real_discount_rate,OFFSET(AG74,,,,COUNTA($C$54:$BB$54)-COUNTA($C$54:AG$54)+1)-OFFSET(AG75,,,,COUNTA($C$54:$BB$54)-COUNTA($C$54:AG$54)+1))*(1+real_discount_rate),IF($B113=AG$2,AG$6,0))</f>
        <v>0</v>
      </c>
      <c r="AH113" s="649" cm="1">
        <f t="array" aca="1" ref="AH113" ca="1">IF(AND($B113=AH$93,$B113=$B114-1),NPV(real_discount_rate,OFFSET(AH74,,,,COUNTA($C$54:$BB$54)-COUNTA($C$54:AH$54)+1)-OFFSET(AH75,,,,COUNTA($C$54:$BB$54)-COUNTA($C$54:AH$54)+1))*(1+real_discount_rate),IF($B113=AH$2,AH$6,0))</f>
        <v>0</v>
      </c>
      <c r="AI113" s="653"/>
      <c r="AJ113" s="653"/>
      <c r="AK113" s="653"/>
      <c r="AL113" s="653"/>
      <c r="AM113" s="653"/>
      <c r="AN113" s="653"/>
      <c r="AO113" s="653"/>
      <c r="AP113" s="653"/>
      <c r="AQ113" s="653"/>
      <c r="AR113" s="653"/>
      <c r="AS113" s="653"/>
      <c r="AT113" s="653"/>
      <c r="AU113" s="653"/>
      <c r="AV113" s="653"/>
      <c r="AW113" s="653"/>
      <c r="AX113" s="653"/>
      <c r="AY113" s="653"/>
      <c r="AZ113" s="653"/>
      <c r="BA113" s="653"/>
      <c r="BB113" s="182"/>
      <c r="BC113" s="410"/>
    </row>
    <row r="114" spans="2:55" x14ac:dyDescent="0.3">
      <c r="B114" s="28">
        <v>2041</v>
      </c>
      <c r="C114" s="179" cm="1">
        <f t="array" aca="1" ref="C114" ca="1">IF(AND($B114=C$93,$B114=$B115-1),NPV(real_discount_rate,OFFSET(C75,,,,COUNTA($C$54:$BB$54)-COUNTA($C$54:C$54)+1)-OFFSET(C76,,,,COUNTA($C$54:$BB$54)-COUNTA($C$54:C$54)+1))*(1+real_discount_rate),IF($B114=C$2,C$6,0))</f>
        <v>0</v>
      </c>
      <c r="D114" s="180" cm="1">
        <f t="array" aca="1" ref="D114" ca="1">IF(AND($B114=D$93,$B114=$B115-1),NPV(real_discount_rate,OFFSET(D75,,,,COUNTA($C$54:$BB$54)-COUNTA($C$54:D$54)+1)-OFFSET(D76,,,,COUNTA($C$54:$BB$54)-COUNTA($C$54:D$54)+1))*(1+real_discount_rate),IF($B114=D$2,D$6,0))</f>
        <v>0</v>
      </c>
      <c r="E114" s="180" cm="1">
        <f t="array" aca="1" ref="E114" ca="1">IF(AND($B114=E$93,$B114=$B115-1),NPV(real_discount_rate,OFFSET(E75,,,,COUNTA($C$54:$BB$54)-COUNTA($C$54:E$54)+1)-OFFSET(E76,,,,COUNTA($C$54:$BB$54)-COUNTA($C$54:E$54)+1))*(1+real_discount_rate),IF($B114=E$2,E$6,0))</f>
        <v>0</v>
      </c>
      <c r="F114" s="180" cm="1">
        <f t="array" aca="1" ref="F114" ca="1">IF(AND($B114=F$93,$B114=$B115-1),NPV(real_discount_rate,OFFSET(F75,,,,COUNTA($C$54:$BB$54)-COUNTA($C$54:F$54)+1)-OFFSET(F76,,,,COUNTA($C$54:$BB$54)-COUNTA($C$54:F$54)+1))*(1+real_discount_rate),IF($B114=F$2,F$6,0))</f>
        <v>0</v>
      </c>
      <c r="G114" s="180" cm="1">
        <f t="array" aca="1" ref="G114" ca="1">IF(AND($B114=G$93,$B114=$B115-1),NPV(real_discount_rate,OFFSET(G75,,,,COUNTA($C$54:$BB$54)-COUNTA($C$54:G$54)+1)-OFFSET(G76,,,,COUNTA($C$54:$BB$54)-COUNTA($C$54:G$54)+1))*(1+real_discount_rate),IF($B114=G$2,G$6,0))</f>
        <v>0</v>
      </c>
      <c r="H114" s="180" cm="1">
        <f t="array" aca="1" ref="H114" ca="1">IF(AND($B114=H$93,$B114=$B115-1),NPV(real_discount_rate,OFFSET(H75,,,,COUNTA($C$54:$BB$54)-COUNTA($C$54:H$54)+1)-OFFSET(H76,,,,COUNTA($C$54:$BB$54)-COUNTA($C$54:H$54)+1))*(1+real_discount_rate),IF($B114=H$2,H$6,0))</f>
        <v>0</v>
      </c>
      <c r="I114" s="180" cm="1">
        <f t="array" aca="1" ref="I114" ca="1">IF(AND($B114=I$93,$B114=$B115-1),NPV(real_discount_rate,OFFSET(I75,,,,COUNTA($C$54:$BB$54)-COUNTA($C$54:I$54)+1)-OFFSET(I76,,,,COUNTA($C$54:$BB$54)-COUNTA($C$54:I$54)+1))*(1+real_discount_rate),IF($B114=I$2,I$6,0))</f>
        <v>0</v>
      </c>
      <c r="J114" s="180" cm="1">
        <f t="array" aca="1" ref="J114" ca="1">IF(AND($B114=J$93,$B114=$B115-1),NPV(real_discount_rate,OFFSET(J75,,,,COUNTA($C$54:$BB$54)-COUNTA($C$54:J$54)+1)-OFFSET(J76,,,,COUNTA($C$54:$BB$54)-COUNTA($C$54:J$54)+1))*(1+real_discount_rate),IF($B114=J$2,J$6,0))</f>
        <v>0</v>
      </c>
      <c r="K114" s="180" cm="1">
        <f t="array" aca="1" ref="K114" ca="1">IF(AND($B114=K$93,$B114=$B115-1),NPV(real_discount_rate,OFFSET(K75,,,,COUNTA($C$54:$BB$54)-COUNTA($C$54:K$54)+1)-OFFSET(K76,,,,COUNTA($C$54:$BB$54)-COUNTA($C$54:K$54)+1))*(1+real_discount_rate),IF($B114=K$2,K$6,0))</f>
        <v>0</v>
      </c>
      <c r="L114" s="180" cm="1">
        <f t="array" aca="1" ref="L114" ca="1">IF(AND($B114=L$93,$B114=$B115-1),NPV(real_discount_rate,OFFSET(L75,,,,COUNTA($C$54:$BB$54)-COUNTA($C$54:L$54)+1)-OFFSET(L76,,,,COUNTA($C$54:$BB$54)-COUNTA($C$54:L$54)+1))*(1+real_discount_rate),IF($B114=L$2,L$6,0))</f>
        <v>0</v>
      </c>
      <c r="M114" s="180" cm="1">
        <f t="array" aca="1" ref="M114" ca="1">IF(AND($B114=M$93,$B114=$B115-1),NPV(real_discount_rate,OFFSET(M75,,,,COUNTA($C$54:$BB$54)-COUNTA($C$54:M$54)+1)-OFFSET(M76,,,,COUNTA($C$54:$BB$54)-COUNTA($C$54:M$54)+1))*(1+real_discount_rate),IF($B114=M$2,M$6,0))</f>
        <v>0</v>
      </c>
      <c r="N114" s="180" cm="1">
        <f t="array" aca="1" ref="N114" ca="1">IF(AND($B114=N$93,$B114=$B115-1),NPV(real_discount_rate,OFFSET(N75,,,,COUNTA($C$54:$BB$54)-COUNTA($C$54:N$54)+1)-OFFSET(N76,,,,COUNTA($C$54:$BB$54)-COUNTA($C$54:N$54)+1))*(1+real_discount_rate),IF($B114=N$2,N$6,0))</f>
        <v>0</v>
      </c>
      <c r="O114" s="180" cm="1">
        <f t="array" aca="1" ref="O114" ca="1">IF(AND($B114=O$93,$B114=$B115-1),NPV(real_discount_rate,OFFSET(O75,,,,COUNTA($C$54:$BB$54)-COUNTA($C$54:O$54)+1)-OFFSET(O76,,,,COUNTA($C$54:$BB$54)-COUNTA($C$54:O$54)+1))*(1+real_discount_rate),IF($B114=O$2,O$6,0))</f>
        <v>0</v>
      </c>
      <c r="P114" s="180" cm="1">
        <f t="array" aca="1" ref="P114" ca="1">IF(AND($B114=P$93,$B114=$B115-1),NPV(real_discount_rate,OFFSET(P75,,,,COUNTA($C$54:$BB$54)-COUNTA($C$54:P$54)+1)-OFFSET(P76,,,,COUNTA($C$54:$BB$54)-COUNTA($C$54:P$54)+1))*(1+real_discount_rate),IF($B114=P$2,P$6,0))</f>
        <v>0</v>
      </c>
      <c r="Q114" s="180" cm="1">
        <f t="array" aca="1" ref="Q114" ca="1">IF(AND($B114=Q$93,$B114=$B115-1),NPV(real_discount_rate,OFFSET(Q75,,,,COUNTA($C$54:$BB$54)-COUNTA($C$54:Q$54)+1)-OFFSET(Q76,,,,COUNTA($C$54:$BB$54)-COUNTA($C$54:Q$54)+1))*(1+real_discount_rate),IF($B114=Q$2,Q$6,0))</f>
        <v>0</v>
      </c>
      <c r="R114" s="180" cm="1">
        <f t="array" aca="1" ref="R114" ca="1">IF(AND($B114=R$93,$B114=$B115-1),NPV(real_discount_rate,OFFSET(R75,,,,COUNTA($C$54:$BB$54)-COUNTA($C$54:R$54)+1)-OFFSET(R76,,,,COUNTA($C$54:$BB$54)-COUNTA($C$54:R$54)+1))*(1+real_discount_rate),IF($B114=R$2,R$6,0))</f>
        <v>0</v>
      </c>
      <c r="S114" s="180" cm="1">
        <f t="array" aca="1" ref="S114" ca="1">IF(AND($B114=S$93,$B114=$B115-1),NPV(real_discount_rate,OFFSET(S75,,,,COUNTA($C$54:$BB$54)-COUNTA($C$54:S$54)+1)-OFFSET(S76,,,,COUNTA($C$54:$BB$54)-COUNTA($C$54:S$54)+1))*(1+real_discount_rate),IF($B114=S$2,S$6,0))</f>
        <v>0</v>
      </c>
      <c r="T114" s="180" cm="1">
        <f t="array" aca="1" ref="T114" ca="1">IF(AND($B114=T$93,$B114=$B115-1),NPV(real_discount_rate,OFFSET(T75,,,,COUNTA($C$54:$BB$54)-COUNTA($C$54:T$54)+1)-OFFSET(T76,,,,COUNTA($C$54:$BB$54)-COUNTA($C$54:T$54)+1))*(1+real_discount_rate),IF($B114=T$2,T$6,0))</f>
        <v>0</v>
      </c>
      <c r="U114" s="180" cm="1">
        <f t="array" aca="1" ref="U114" ca="1">IF(AND($B114=U$93,$B114=$B115-1),NPV(real_discount_rate,OFFSET(U75,,,,COUNTA($C$54:$BB$54)-COUNTA($C$54:U$54)+1)-OFFSET(U76,,,,COUNTA($C$54:$BB$54)-COUNTA($C$54:U$54)+1))*(1+real_discount_rate),IF($B114=U$2,U$6,0))</f>
        <v>0</v>
      </c>
      <c r="V114" s="180" cm="1">
        <f t="array" aca="1" ref="V114" ca="1">IF(AND($B114=V$93,$B114=$B115-1),NPV(real_discount_rate,OFFSET(V75,,,,COUNTA($C$54:$BB$54)-COUNTA($C$54:V$54)+1)-OFFSET(V76,,,,COUNTA($C$54:$BB$54)-COUNTA($C$54:V$54)+1))*(1+real_discount_rate),IF($B114=V$2,V$6,0))</f>
        <v>0</v>
      </c>
      <c r="W114" s="180" cm="1">
        <f t="array" aca="1" ref="W114" ca="1">IF(AND($B114=W$93,$B114=$B115-1),NPV(real_discount_rate,OFFSET(W75,,,,COUNTA($C$54:$BB$54)-COUNTA($C$54:W$54)+1)-OFFSET(W76,,,,COUNTA($C$54:$BB$54)-COUNTA($C$54:W$54)+1))*(1+real_discount_rate),IF($B114=W$2,W$6,0))</f>
        <v>68.541364051768994</v>
      </c>
      <c r="X114" s="180" cm="1">
        <f t="array" aca="1" ref="X114" ca="1">IF(AND($B114=X$93,$B114=$B115-1),NPV(real_discount_rate,OFFSET(X75,,,,COUNTA($C$54:$BB$54)-COUNTA($C$54:X$54)+1)-OFFSET(X76,,,,COUNTA($C$54:$BB$54)-COUNTA($C$54:X$54)+1))*(1+real_discount_rate),IF($B114=X$2,X$6,0))</f>
        <v>0</v>
      </c>
      <c r="Y114" s="180" cm="1">
        <f t="array" aca="1" ref="Y114" ca="1">IF(AND($B114=Y$93,$B114=$B115-1),NPV(real_discount_rate,OFFSET(Y75,,,,COUNTA($C$54:$BB$54)-COUNTA($C$54:Y$54)+1)-OFFSET(Y76,,,,COUNTA($C$54:$BB$54)-COUNTA($C$54:Y$54)+1))*(1+real_discount_rate),IF($B114=Y$2,Y$6,0))</f>
        <v>0</v>
      </c>
      <c r="Z114" s="180" cm="1">
        <f t="array" aca="1" ref="Z114" ca="1">IF(AND($B114=Z$93,$B114=$B115-1),NPV(real_discount_rate,OFFSET(Z75,,,,COUNTA($C$54:$BB$54)-COUNTA($C$54:Z$54)+1)-OFFSET(Z76,,,,COUNTA($C$54:$BB$54)-COUNTA($C$54:Z$54)+1))*(1+real_discount_rate),IF($B114=Z$2,Z$6,0))</f>
        <v>0</v>
      </c>
      <c r="AA114" s="180" cm="1">
        <f t="array" aca="1" ref="AA114" ca="1">IF(AND($B114=AA$93,$B114=$B115-1),NPV(real_discount_rate,OFFSET(AA75,,,,COUNTA($C$54:$BB$54)-COUNTA($C$54:AA$54)+1)-OFFSET(AA76,,,,COUNTA($C$54:$BB$54)-COUNTA($C$54:AA$54)+1))*(1+real_discount_rate),IF($B114=AA$2,AA$6,0))</f>
        <v>0</v>
      </c>
      <c r="AB114" s="180" cm="1">
        <f t="array" aca="1" ref="AB114" ca="1">IF(AND($B114=AB$93,$B114=$B115-1),NPV(real_discount_rate,OFFSET(AB75,,,,COUNTA($C$54:$BB$54)-COUNTA($C$54:AB$54)+1)-OFFSET(AB76,,,,COUNTA($C$54:$BB$54)-COUNTA($C$54:AB$54)+1))*(1+real_discount_rate),IF($B114=AB$2,AB$6,0))</f>
        <v>0</v>
      </c>
      <c r="AC114" s="180" cm="1">
        <f t="array" aca="1" ref="AC114" ca="1">IF(AND($B114=AC$93,$B114=$B115-1),NPV(real_discount_rate,OFFSET(AC75,,,,COUNTA($C$54:$BB$54)-COUNTA($C$54:AC$54)+1)-OFFSET(AC76,,,,COUNTA($C$54:$BB$54)-COUNTA($C$54:AC$54)+1))*(1+real_discount_rate),IF($B114=AC$2,AC$6,0))</f>
        <v>0</v>
      </c>
      <c r="AD114" s="180" cm="1">
        <f t="array" aca="1" ref="AD114" ca="1">IF(AND($B114=AD$93,$B114=$B115-1),NPV(real_discount_rate,OFFSET(AD75,,,,COUNTA($C$54:$BB$54)-COUNTA($C$54:AD$54)+1)-OFFSET(AD76,,,,COUNTA($C$54:$BB$54)-COUNTA($C$54:AD$54)+1))*(1+real_discount_rate),IF($B114=AD$2,AD$6,0))</f>
        <v>0</v>
      </c>
      <c r="AE114" s="180" cm="1">
        <f t="array" aca="1" ref="AE114" ca="1">IF(AND($B114=AE$93,$B114=$B115-1),NPV(real_discount_rate,OFFSET(AE75,,,,COUNTA($C$54:$BB$54)-COUNTA($C$54:AE$54)+1)-OFFSET(AE76,,,,COUNTA($C$54:$BB$54)-COUNTA($C$54:AE$54)+1))*(1+real_discount_rate),IF($B114=AE$2,AE$6,0))</f>
        <v>0</v>
      </c>
      <c r="AF114" s="180" cm="1">
        <f t="array" aca="1" ref="AF114" ca="1">IF(AND($B114=AF$93,$B114=$B115-1),NPV(real_discount_rate,OFFSET(AF75,,,,COUNTA($C$54:$BB$54)-COUNTA($C$54:AF$54)+1)-OFFSET(AF76,,,,COUNTA($C$54:$BB$54)-COUNTA($C$54:AF$54)+1))*(1+real_discount_rate),IF($B114=AF$2,AF$6,0))</f>
        <v>0</v>
      </c>
      <c r="AG114" s="180" cm="1">
        <f t="array" aca="1" ref="AG114" ca="1">IF(AND($B114=AG$93,$B114=$B115-1),NPV(real_discount_rate,OFFSET(AG75,,,,COUNTA($C$54:$BB$54)-COUNTA($C$54:AG$54)+1)-OFFSET(AG76,,,,COUNTA($C$54:$BB$54)-COUNTA($C$54:AG$54)+1))*(1+real_discount_rate),IF($B114=AG$2,AG$6,0))</f>
        <v>0</v>
      </c>
      <c r="AH114" s="649" cm="1">
        <f t="array" aca="1" ref="AH114" ca="1">IF(AND($B114=AH$93,$B114=$B115-1),NPV(real_discount_rate,OFFSET(AH75,,,,COUNTA($C$54:$BB$54)-COUNTA($C$54:AH$54)+1)-OFFSET(AH76,,,,COUNTA($C$54:$BB$54)-COUNTA($C$54:AH$54)+1))*(1+real_discount_rate),IF($B114=AH$2,AH$6,0))</f>
        <v>0</v>
      </c>
      <c r="AI114" s="653"/>
      <c r="AJ114" s="653"/>
      <c r="AK114" s="653"/>
      <c r="AL114" s="653"/>
      <c r="AM114" s="653"/>
      <c r="AN114" s="653"/>
      <c r="AO114" s="653"/>
      <c r="AP114" s="653"/>
      <c r="AQ114" s="653"/>
      <c r="AR114" s="653"/>
      <c r="AS114" s="653"/>
      <c r="AT114" s="653"/>
      <c r="AU114" s="653"/>
      <c r="AV114" s="653"/>
      <c r="AW114" s="653"/>
      <c r="AX114" s="653"/>
      <c r="AY114" s="653"/>
      <c r="AZ114" s="653"/>
      <c r="BA114" s="653"/>
      <c r="BB114" s="182"/>
      <c r="BC114" s="410"/>
    </row>
    <row r="115" spans="2:55" x14ac:dyDescent="0.3">
      <c r="B115" s="28">
        <v>2042</v>
      </c>
      <c r="C115" s="179" cm="1">
        <f t="array" aca="1" ref="C115" ca="1">IF(AND($B115=C$93,$B115=$B116-1),NPV(real_discount_rate,OFFSET(C76,,,,COUNTA($C$54:$BB$54)-COUNTA($C$54:C$54)+1)-OFFSET(C77,,,,COUNTA($C$54:$BB$54)-COUNTA($C$54:C$54)+1))*(1+real_discount_rate),IF($B115=C$2,C$6,0))</f>
        <v>0</v>
      </c>
      <c r="D115" s="180" cm="1">
        <f t="array" aca="1" ref="D115" ca="1">IF(AND($B115=D$93,$B115=$B116-1),NPV(real_discount_rate,OFFSET(D76,,,,COUNTA($C$54:$BB$54)-COUNTA($C$54:D$54)+1)-OFFSET(D77,,,,COUNTA($C$54:$BB$54)-COUNTA($C$54:D$54)+1))*(1+real_discount_rate),IF($B115=D$2,D$6,0))</f>
        <v>0</v>
      </c>
      <c r="E115" s="180" cm="1">
        <f t="array" aca="1" ref="E115" ca="1">IF(AND($B115=E$93,$B115=$B116-1),NPV(real_discount_rate,OFFSET(E76,,,,COUNTA($C$54:$BB$54)-COUNTA($C$54:E$54)+1)-OFFSET(E77,,,,COUNTA($C$54:$BB$54)-COUNTA($C$54:E$54)+1))*(1+real_discount_rate),IF($B115=E$2,E$6,0))</f>
        <v>0</v>
      </c>
      <c r="F115" s="180" cm="1">
        <f t="array" aca="1" ref="F115" ca="1">IF(AND($B115=F$93,$B115=$B116-1),NPV(real_discount_rate,OFFSET(F76,,,,COUNTA($C$54:$BB$54)-COUNTA($C$54:F$54)+1)-OFFSET(F77,,,,COUNTA($C$54:$BB$54)-COUNTA($C$54:F$54)+1))*(1+real_discount_rate),IF($B115=F$2,F$6,0))</f>
        <v>0</v>
      </c>
      <c r="G115" s="180" cm="1">
        <f t="array" aca="1" ref="G115" ca="1">IF(AND($B115=G$93,$B115=$B116-1),NPV(real_discount_rate,OFFSET(G76,,,,COUNTA($C$54:$BB$54)-COUNTA($C$54:G$54)+1)-OFFSET(G77,,,,COUNTA($C$54:$BB$54)-COUNTA($C$54:G$54)+1))*(1+real_discount_rate),IF($B115=G$2,G$6,0))</f>
        <v>0</v>
      </c>
      <c r="H115" s="180" cm="1">
        <f t="array" aca="1" ref="H115" ca="1">IF(AND($B115=H$93,$B115=$B116-1),NPV(real_discount_rate,OFFSET(H76,,,,COUNTA($C$54:$BB$54)-COUNTA($C$54:H$54)+1)-OFFSET(H77,,,,COUNTA($C$54:$BB$54)-COUNTA($C$54:H$54)+1))*(1+real_discount_rate),IF($B115=H$2,H$6,0))</f>
        <v>0</v>
      </c>
      <c r="I115" s="180" cm="1">
        <f t="array" aca="1" ref="I115" ca="1">IF(AND($B115=I$93,$B115=$B116-1),NPV(real_discount_rate,OFFSET(I76,,,,COUNTA($C$54:$BB$54)-COUNTA($C$54:I$54)+1)-OFFSET(I77,,,,COUNTA($C$54:$BB$54)-COUNTA($C$54:I$54)+1))*(1+real_discount_rate),IF($B115=I$2,I$6,0))</f>
        <v>0</v>
      </c>
      <c r="J115" s="180" cm="1">
        <f t="array" aca="1" ref="J115" ca="1">IF(AND($B115=J$93,$B115=$B116-1),NPV(real_discount_rate,OFFSET(J76,,,,COUNTA($C$54:$BB$54)-COUNTA($C$54:J$54)+1)-OFFSET(J77,,,,COUNTA($C$54:$BB$54)-COUNTA($C$54:J$54)+1))*(1+real_discount_rate),IF($B115=J$2,J$6,0))</f>
        <v>0</v>
      </c>
      <c r="K115" s="180" cm="1">
        <f t="array" aca="1" ref="K115" ca="1">IF(AND($B115=K$93,$B115=$B116-1),NPV(real_discount_rate,OFFSET(K76,,,,COUNTA($C$54:$BB$54)-COUNTA($C$54:K$54)+1)-OFFSET(K77,,,,COUNTA($C$54:$BB$54)-COUNTA($C$54:K$54)+1))*(1+real_discount_rate),IF($B115=K$2,K$6,0))</f>
        <v>0</v>
      </c>
      <c r="L115" s="180" cm="1">
        <f t="array" aca="1" ref="L115" ca="1">IF(AND($B115=L$93,$B115=$B116-1),NPV(real_discount_rate,OFFSET(L76,,,,COUNTA($C$54:$BB$54)-COUNTA($C$54:L$54)+1)-OFFSET(L77,,,,COUNTA($C$54:$BB$54)-COUNTA($C$54:L$54)+1))*(1+real_discount_rate),IF($B115=L$2,L$6,0))</f>
        <v>0</v>
      </c>
      <c r="M115" s="180" cm="1">
        <f t="array" aca="1" ref="M115" ca="1">IF(AND($B115=M$93,$B115=$B116-1),NPV(real_discount_rate,OFFSET(M76,,,,COUNTA($C$54:$BB$54)-COUNTA($C$54:M$54)+1)-OFFSET(M77,,,,COUNTA($C$54:$BB$54)-COUNTA($C$54:M$54)+1))*(1+real_discount_rate),IF($B115=M$2,M$6,0))</f>
        <v>0</v>
      </c>
      <c r="N115" s="180" cm="1">
        <f t="array" aca="1" ref="N115" ca="1">IF(AND($B115=N$93,$B115=$B116-1),NPV(real_discount_rate,OFFSET(N76,,,,COUNTA($C$54:$BB$54)-COUNTA($C$54:N$54)+1)-OFFSET(N77,,,,COUNTA($C$54:$BB$54)-COUNTA($C$54:N$54)+1))*(1+real_discount_rate),IF($B115=N$2,N$6,0))</f>
        <v>0</v>
      </c>
      <c r="O115" s="180" cm="1">
        <f t="array" aca="1" ref="O115" ca="1">IF(AND($B115=O$93,$B115=$B116-1),NPV(real_discount_rate,OFFSET(O76,,,,COUNTA($C$54:$BB$54)-COUNTA($C$54:O$54)+1)-OFFSET(O77,,,,COUNTA($C$54:$BB$54)-COUNTA($C$54:O$54)+1))*(1+real_discount_rate),IF($B115=O$2,O$6,0))</f>
        <v>0</v>
      </c>
      <c r="P115" s="180" cm="1">
        <f t="array" aca="1" ref="P115" ca="1">IF(AND($B115=P$93,$B115=$B116-1),NPV(real_discount_rate,OFFSET(P76,,,,COUNTA($C$54:$BB$54)-COUNTA($C$54:P$54)+1)-OFFSET(P77,,,,COUNTA($C$54:$BB$54)-COUNTA($C$54:P$54)+1))*(1+real_discount_rate),IF($B115=P$2,P$6,0))</f>
        <v>0</v>
      </c>
      <c r="Q115" s="180" cm="1">
        <f t="array" aca="1" ref="Q115" ca="1">IF(AND($B115=Q$93,$B115=$B116-1),NPV(real_discount_rate,OFFSET(Q76,,,,COUNTA($C$54:$BB$54)-COUNTA($C$54:Q$54)+1)-OFFSET(Q77,,,,COUNTA($C$54:$BB$54)-COUNTA($C$54:Q$54)+1))*(1+real_discount_rate),IF($B115=Q$2,Q$6,0))</f>
        <v>0</v>
      </c>
      <c r="R115" s="180" cm="1">
        <f t="array" aca="1" ref="R115" ca="1">IF(AND($B115=R$93,$B115=$B116-1),NPV(real_discount_rate,OFFSET(R76,,,,COUNTA($C$54:$BB$54)-COUNTA($C$54:R$54)+1)-OFFSET(R77,,,,COUNTA($C$54:$BB$54)-COUNTA($C$54:R$54)+1))*(1+real_discount_rate),IF($B115=R$2,R$6,0))</f>
        <v>0</v>
      </c>
      <c r="S115" s="180" cm="1">
        <f t="array" aca="1" ref="S115" ca="1">IF(AND($B115=S$93,$B115=$B116-1),NPV(real_discount_rate,OFFSET(S76,,,,COUNTA($C$54:$BB$54)-COUNTA($C$54:S$54)+1)-OFFSET(S77,,,,COUNTA($C$54:$BB$54)-COUNTA($C$54:S$54)+1))*(1+real_discount_rate),IF($B115=S$2,S$6,0))</f>
        <v>0</v>
      </c>
      <c r="T115" s="180" cm="1">
        <f t="array" aca="1" ref="T115" ca="1">IF(AND($B115=T$93,$B115=$B116-1),NPV(real_discount_rate,OFFSET(T76,,,,COUNTA($C$54:$BB$54)-COUNTA($C$54:T$54)+1)-OFFSET(T77,,,,COUNTA($C$54:$BB$54)-COUNTA($C$54:T$54)+1))*(1+real_discount_rate),IF($B115=T$2,T$6,0))</f>
        <v>0</v>
      </c>
      <c r="U115" s="180" cm="1">
        <f t="array" aca="1" ref="U115" ca="1">IF(AND($B115=U$93,$B115=$B116-1),NPV(real_discount_rate,OFFSET(U76,,,,COUNTA($C$54:$BB$54)-COUNTA($C$54:U$54)+1)-OFFSET(U77,,,,COUNTA($C$54:$BB$54)-COUNTA($C$54:U$54)+1))*(1+real_discount_rate),IF($B115=U$2,U$6,0))</f>
        <v>0</v>
      </c>
      <c r="V115" s="180" cm="1">
        <f t="array" aca="1" ref="V115" ca="1">IF(AND($B115=V$93,$B115=$B116-1),NPV(real_discount_rate,OFFSET(V76,,,,COUNTA($C$54:$BB$54)-COUNTA($C$54:V$54)+1)-OFFSET(V77,,,,COUNTA($C$54:$BB$54)-COUNTA($C$54:V$54)+1))*(1+real_discount_rate),IF($B115=V$2,V$6,0))</f>
        <v>0</v>
      </c>
      <c r="W115" s="180" cm="1">
        <f t="array" aca="1" ref="W115" ca="1">IF(AND($B115=W$93,$B115=$B116-1),NPV(real_discount_rate,OFFSET(W76,,,,COUNTA($C$54:$BB$54)-COUNTA($C$54:W$54)+1)-OFFSET(W77,,,,COUNTA($C$54:$BB$54)-COUNTA($C$54:W$54)+1))*(1+real_discount_rate),IF($B115=W$2,W$6,0))</f>
        <v>0</v>
      </c>
      <c r="X115" s="180" cm="1">
        <f t="array" aca="1" ref="X115" ca="1">IF(AND($B115=X$93,$B115=$B116-1),NPV(real_discount_rate,OFFSET(X76,,,,COUNTA($C$54:$BB$54)-COUNTA($C$54:X$54)+1)-OFFSET(X77,,,,COUNTA($C$54:$BB$54)-COUNTA($C$54:X$54)+1))*(1+real_discount_rate),IF($B115=X$2,X$6,0))</f>
        <v>73.683434867452419</v>
      </c>
      <c r="Y115" s="180" cm="1">
        <f t="array" aca="1" ref="Y115" ca="1">IF(AND($B115=Y$93,$B115=$B116-1),NPV(real_discount_rate,OFFSET(Y76,,,,COUNTA($C$54:$BB$54)-COUNTA($C$54:Y$54)+1)-OFFSET(Y77,,,,COUNTA($C$54:$BB$54)-COUNTA($C$54:Y$54)+1))*(1+real_discount_rate),IF($B115=Y$2,Y$6,0))</f>
        <v>0</v>
      </c>
      <c r="Z115" s="180" cm="1">
        <f t="array" aca="1" ref="Z115" ca="1">IF(AND($B115=Z$93,$B115=$B116-1),NPV(real_discount_rate,OFFSET(Z76,,,,COUNTA($C$54:$BB$54)-COUNTA($C$54:Z$54)+1)-OFFSET(Z77,,,,COUNTA($C$54:$BB$54)-COUNTA($C$54:Z$54)+1))*(1+real_discount_rate),IF($B115=Z$2,Z$6,0))</f>
        <v>0</v>
      </c>
      <c r="AA115" s="180" cm="1">
        <f t="array" aca="1" ref="AA115" ca="1">IF(AND($B115=AA$93,$B115=$B116-1),NPV(real_discount_rate,OFFSET(AA76,,,,COUNTA($C$54:$BB$54)-COUNTA($C$54:AA$54)+1)-OFFSET(AA77,,,,COUNTA($C$54:$BB$54)-COUNTA($C$54:AA$54)+1))*(1+real_discount_rate),IF($B115=AA$2,AA$6,0))</f>
        <v>0</v>
      </c>
      <c r="AB115" s="180" cm="1">
        <f t="array" aca="1" ref="AB115" ca="1">IF(AND($B115=AB$93,$B115=$B116-1),NPV(real_discount_rate,OFFSET(AB76,,,,COUNTA($C$54:$BB$54)-COUNTA($C$54:AB$54)+1)-OFFSET(AB77,,,,COUNTA($C$54:$BB$54)-COUNTA($C$54:AB$54)+1))*(1+real_discount_rate),IF($B115=AB$2,AB$6,0))</f>
        <v>0</v>
      </c>
      <c r="AC115" s="180" cm="1">
        <f t="array" aca="1" ref="AC115" ca="1">IF(AND($B115=AC$93,$B115=$B116-1),NPV(real_discount_rate,OFFSET(AC76,,,,COUNTA($C$54:$BB$54)-COUNTA($C$54:AC$54)+1)-OFFSET(AC77,,,,COUNTA($C$54:$BB$54)-COUNTA($C$54:AC$54)+1))*(1+real_discount_rate),IF($B115=AC$2,AC$6,0))</f>
        <v>0</v>
      </c>
      <c r="AD115" s="180" cm="1">
        <f t="array" aca="1" ref="AD115" ca="1">IF(AND($B115=AD$93,$B115=$B116-1),NPV(real_discount_rate,OFFSET(AD76,,,,COUNTA($C$54:$BB$54)-COUNTA($C$54:AD$54)+1)-OFFSET(AD77,,,,COUNTA($C$54:$BB$54)-COUNTA($C$54:AD$54)+1))*(1+real_discount_rate),IF($B115=AD$2,AD$6,0))</f>
        <v>0</v>
      </c>
      <c r="AE115" s="180" cm="1">
        <f t="array" aca="1" ref="AE115" ca="1">IF(AND($B115=AE$93,$B115=$B116-1),NPV(real_discount_rate,OFFSET(AE76,,,,COUNTA($C$54:$BB$54)-COUNTA($C$54:AE$54)+1)-OFFSET(AE77,,,,COUNTA($C$54:$BB$54)-COUNTA($C$54:AE$54)+1))*(1+real_discount_rate),IF($B115=AE$2,AE$6,0))</f>
        <v>0</v>
      </c>
      <c r="AF115" s="180" cm="1">
        <f t="array" aca="1" ref="AF115" ca="1">IF(AND($B115=AF$93,$B115=$B116-1),NPV(real_discount_rate,OFFSET(AF76,,,,COUNTA($C$54:$BB$54)-COUNTA($C$54:AF$54)+1)-OFFSET(AF77,,,,COUNTA($C$54:$BB$54)-COUNTA($C$54:AF$54)+1))*(1+real_discount_rate),IF($B115=AF$2,AF$6,0))</f>
        <v>0</v>
      </c>
      <c r="AG115" s="180" cm="1">
        <f t="array" aca="1" ref="AG115" ca="1">IF(AND($B115=AG$93,$B115=$B116-1),NPV(real_discount_rate,OFFSET(AG76,,,,COUNTA($C$54:$BB$54)-COUNTA($C$54:AG$54)+1)-OFFSET(AG77,,,,COUNTA($C$54:$BB$54)-COUNTA($C$54:AG$54)+1))*(1+real_discount_rate),IF($B115=AG$2,AG$6,0))</f>
        <v>0</v>
      </c>
      <c r="AH115" s="649" cm="1">
        <f t="array" aca="1" ref="AH115" ca="1">IF(AND($B115=AH$93,$B115=$B116-1),NPV(real_discount_rate,OFFSET(AH76,,,,COUNTA($C$54:$BB$54)-COUNTA($C$54:AH$54)+1)-OFFSET(AH77,,,,COUNTA($C$54:$BB$54)-COUNTA($C$54:AH$54)+1))*(1+real_discount_rate),IF($B115=AH$2,AH$6,0))</f>
        <v>0</v>
      </c>
      <c r="AI115" s="653"/>
      <c r="AJ115" s="653"/>
      <c r="AK115" s="653"/>
      <c r="AL115" s="653"/>
      <c r="AM115" s="653"/>
      <c r="AN115" s="653"/>
      <c r="AO115" s="653"/>
      <c r="AP115" s="653"/>
      <c r="AQ115" s="653"/>
      <c r="AR115" s="653"/>
      <c r="AS115" s="653"/>
      <c r="AT115" s="653"/>
      <c r="AU115" s="653"/>
      <c r="AV115" s="653"/>
      <c r="AW115" s="653"/>
      <c r="AX115" s="653"/>
      <c r="AY115" s="653"/>
      <c r="AZ115" s="653"/>
      <c r="BA115" s="653"/>
      <c r="BB115" s="182"/>
      <c r="BC115" s="410"/>
    </row>
    <row r="116" spans="2:55" x14ac:dyDescent="0.3">
      <c r="B116" s="28">
        <v>2043</v>
      </c>
      <c r="C116" s="179" cm="1">
        <f t="array" aca="1" ref="C116" ca="1">IF(AND($B116=C$93,$B116=$B117-1),NPV(real_discount_rate,OFFSET(C77,,,,COUNTA($C$54:$BB$54)-COUNTA($C$54:C$54)+1)-OFFSET(C78,,,,COUNTA($C$54:$BB$54)-COUNTA($C$54:C$54)+1))*(1+real_discount_rate),IF($B116=C$2,C$6,0))</f>
        <v>0</v>
      </c>
      <c r="D116" s="180" cm="1">
        <f t="array" aca="1" ref="D116" ca="1">IF(AND($B116=D$93,$B116=$B117-1),NPV(real_discount_rate,OFFSET(D77,,,,COUNTA($C$54:$BB$54)-COUNTA($C$54:D$54)+1)-OFFSET(D78,,,,COUNTA($C$54:$BB$54)-COUNTA($C$54:D$54)+1))*(1+real_discount_rate),IF($B116=D$2,D$6,0))</f>
        <v>0</v>
      </c>
      <c r="E116" s="180" cm="1">
        <f t="array" aca="1" ref="E116" ca="1">IF(AND($B116=E$93,$B116=$B117-1),NPV(real_discount_rate,OFFSET(E77,,,,COUNTA($C$54:$BB$54)-COUNTA($C$54:E$54)+1)-OFFSET(E78,,,,COUNTA($C$54:$BB$54)-COUNTA($C$54:E$54)+1))*(1+real_discount_rate),IF($B116=E$2,E$6,0))</f>
        <v>0</v>
      </c>
      <c r="F116" s="180" cm="1">
        <f t="array" aca="1" ref="F116" ca="1">IF(AND($B116=F$93,$B116=$B117-1),NPV(real_discount_rate,OFFSET(F77,,,,COUNTA($C$54:$BB$54)-COUNTA($C$54:F$54)+1)-OFFSET(F78,,,,COUNTA($C$54:$BB$54)-COUNTA($C$54:F$54)+1))*(1+real_discount_rate),IF($B116=F$2,F$6,0))</f>
        <v>0</v>
      </c>
      <c r="G116" s="180" cm="1">
        <f t="array" aca="1" ref="G116" ca="1">IF(AND($B116=G$93,$B116=$B117-1),NPV(real_discount_rate,OFFSET(G77,,,,COUNTA($C$54:$BB$54)-COUNTA($C$54:G$54)+1)-OFFSET(G78,,,,COUNTA($C$54:$BB$54)-COUNTA($C$54:G$54)+1))*(1+real_discount_rate),IF($B116=G$2,G$6,0))</f>
        <v>0</v>
      </c>
      <c r="H116" s="180" cm="1">
        <f t="array" aca="1" ref="H116" ca="1">IF(AND($B116=H$93,$B116=$B117-1),NPV(real_discount_rate,OFFSET(H77,,,,COUNTA($C$54:$BB$54)-COUNTA($C$54:H$54)+1)-OFFSET(H78,,,,COUNTA($C$54:$BB$54)-COUNTA($C$54:H$54)+1))*(1+real_discount_rate),IF($B116=H$2,H$6,0))</f>
        <v>0</v>
      </c>
      <c r="I116" s="180" cm="1">
        <f t="array" aca="1" ref="I116" ca="1">IF(AND($B116=I$93,$B116=$B117-1),NPV(real_discount_rate,OFFSET(I77,,,,COUNTA($C$54:$BB$54)-COUNTA($C$54:I$54)+1)-OFFSET(I78,,,,COUNTA($C$54:$BB$54)-COUNTA($C$54:I$54)+1))*(1+real_discount_rate),IF($B116=I$2,I$6,0))</f>
        <v>0</v>
      </c>
      <c r="J116" s="180" cm="1">
        <f t="array" aca="1" ref="J116" ca="1">IF(AND($B116=J$93,$B116=$B117-1),NPV(real_discount_rate,OFFSET(J77,,,,COUNTA($C$54:$BB$54)-COUNTA($C$54:J$54)+1)-OFFSET(J78,,,,COUNTA($C$54:$BB$54)-COUNTA($C$54:J$54)+1))*(1+real_discount_rate),IF($B116=J$2,J$6,0))</f>
        <v>0</v>
      </c>
      <c r="K116" s="180" cm="1">
        <f t="array" aca="1" ref="K116" ca="1">IF(AND($B116=K$93,$B116=$B117-1),NPV(real_discount_rate,OFFSET(K77,,,,COUNTA($C$54:$BB$54)-COUNTA($C$54:K$54)+1)-OFFSET(K78,,,,COUNTA($C$54:$BB$54)-COUNTA($C$54:K$54)+1))*(1+real_discount_rate),IF($B116=K$2,K$6,0))</f>
        <v>0</v>
      </c>
      <c r="L116" s="180" cm="1">
        <f t="array" aca="1" ref="L116" ca="1">IF(AND($B116=L$93,$B116=$B117-1),NPV(real_discount_rate,OFFSET(L77,,,,COUNTA($C$54:$BB$54)-COUNTA($C$54:L$54)+1)-OFFSET(L78,,,,COUNTA($C$54:$BB$54)-COUNTA($C$54:L$54)+1))*(1+real_discount_rate),IF($B116=L$2,L$6,0))</f>
        <v>0</v>
      </c>
      <c r="M116" s="180" cm="1">
        <f t="array" aca="1" ref="M116" ca="1">IF(AND($B116=M$93,$B116=$B117-1),NPV(real_discount_rate,OFFSET(M77,,,,COUNTA($C$54:$BB$54)-COUNTA($C$54:M$54)+1)-OFFSET(M78,,,,COUNTA($C$54:$BB$54)-COUNTA($C$54:M$54)+1))*(1+real_discount_rate),IF($B116=M$2,M$6,0))</f>
        <v>0</v>
      </c>
      <c r="N116" s="180" cm="1">
        <f t="array" aca="1" ref="N116" ca="1">IF(AND($B116=N$93,$B116=$B117-1),NPV(real_discount_rate,OFFSET(N77,,,,COUNTA($C$54:$BB$54)-COUNTA($C$54:N$54)+1)-OFFSET(N78,,,,COUNTA($C$54:$BB$54)-COUNTA($C$54:N$54)+1))*(1+real_discount_rate),IF($B116=N$2,N$6,0))</f>
        <v>0</v>
      </c>
      <c r="O116" s="180" cm="1">
        <f t="array" aca="1" ref="O116" ca="1">IF(AND($B116=O$93,$B116=$B117-1),NPV(real_discount_rate,OFFSET(O77,,,,COUNTA($C$54:$BB$54)-COUNTA($C$54:O$54)+1)-OFFSET(O78,,,,COUNTA($C$54:$BB$54)-COUNTA($C$54:O$54)+1))*(1+real_discount_rate),IF($B116=O$2,O$6,0))</f>
        <v>0</v>
      </c>
      <c r="P116" s="180" cm="1">
        <f t="array" aca="1" ref="P116" ca="1">IF(AND($B116=P$93,$B116=$B117-1),NPV(real_discount_rate,OFFSET(P77,,,,COUNTA($C$54:$BB$54)-COUNTA($C$54:P$54)+1)-OFFSET(P78,,,,COUNTA($C$54:$BB$54)-COUNTA($C$54:P$54)+1))*(1+real_discount_rate),IF($B116=P$2,P$6,0))</f>
        <v>0</v>
      </c>
      <c r="Q116" s="180" cm="1">
        <f t="array" aca="1" ref="Q116" ca="1">IF(AND($B116=Q$93,$B116=$B117-1),NPV(real_discount_rate,OFFSET(Q77,,,,COUNTA($C$54:$BB$54)-COUNTA($C$54:Q$54)+1)-OFFSET(Q78,,,,COUNTA($C$54:$BB$54)-COUNTA($C$54:Q$54)+1))*(1+real_discount_rate),IF($B116=Q$2,Q$6,0))</f>
        <v>0</v>
      </c>
      <c r="R116" s="180" cm="1">
        <f t="array" aca="1" ref="R116" ca="1">IF(AND($B116=R$93,$B116=$B117-1),NPV(real_discount_rate,OFFSET(R77,,,,COUNTA($C$54:$BB$54)-COUNTA($C$54:R$54)+1)-OFFSET(R78,,,,COUNTA($C$54:$BB$54)-COUNTA($C$54:R$54)+1))*(1+real_discount_rate),IF($B116=R$2,R$6,0))</f>
        <v>0</v>
      </c>
      <c r="S116" s="180" cm="1">
        <f t="array" aca="1" ref="S116" ca="1">IF(AND($B116=S$93,$B116=$B117-1),NPV(real_discount_rate,OFFSET(S77,,,,COUNTA($C$54:$BB$54)-COUNTA($C$54:S$54)+1)-OFFSET(S78,,,,COUNTA($C$54:$BB$54)-COUNTA($C$54:S$54)+1))*(1+real_discount_rate),IF($B116=S$2,S$6,0))</f>
        <v>0</v>
      </c>
      <c r="T116" s="180" cm="1">
        <f t="array" aca="1" ref="T116" ca="1">IF(AND($B116=T$93,$B116=$B117-1),NPV(real_discount_rate,OFFSET(T77,,,,COUNTA($C$54:$BB$54)-COUNTA($C$54:T$54)+1)-OFFSET(T78,,,,COUNTA($C$54:$BB$54)-COUNTA($C$54:T$54)+1))*(1+real_discount_rate),IF($B116=T$2,T$6,0))</f>
        <v>0</v>
      </c>
      <c r="U116" s="180" cm="1">
        <f t="array" aca="1" ref="U116" ca="1">IF(AND($B116=U$93,$B116=$B117-1),NPV(real_discount_rate,OFFSET(U77,,,,COUNTA($C$54:$BB$54)-COUNTA($C$54:U$54)+1)-OFFSET(U78,,,,COUNTA($C$54:$BB$54)-COUNTA($C$54:U$54)+1))*(1+real_discount_rate),IF($B116=U$2,U$6,0))</f>
        <v>0</v>
      </c>
      <c r="V116" s="180" cm="1">
        <f t="array" aca="1" ref="V116" ca="1">IF(AND($B116=V$93,$B116=$B117-1),NPV(real_discount_rate,OFFSET(V77,,,,COUNTA($C$54:$BB$54)-COUNTA($C$54:V$54)+1)-OFFSET(V78,,,,COUNTA($C$54:$BB$54)-COUNTA($C$54:V$54)+1))*(1+real_discount_rate),IF($B116=V$2,V$6,0))</f>
        <v>0</v>
      </c>
      <c r="W116" s="180" cm="1">
        <f t="array" aca="1" ref="W116" ca="1">IF(AND($B116=W$93,$B116=$B117-1),NPV(real_discount_rate,OFFSET(W77,,,,COUNTA($C$54:$BB$54)-COUNTA($C$54:W$54)+1)-OFFSET(W78,,,,COUNTA($C$54:$BB$54)-COUNTA($C$54:W$54)+1))*(1+real_discount_rate),IF($B116=W$2,W$6,0))</f>
        <v>0</v>
      </c>
      <c r="X116" s="180" cm="1">
        <f t="array" aca="1" ref="X116" ca="1">IF(AND($B116=X$93,$B116=$B117-1),NPV(real_discount_rate,OFFSET(X77,,,,COUNTA($C$54:$BB$54)-COUNTA($C$54:X$54)+1)-OFFSET(X78,,,,COUNTA($C$54:$BB$54)-COUNTA($C$54:X$54)+1))*(1+real_discount_rate),IF($B116=X$2,X$6,0))</f>
        <v>0</v>
      </c>
      <c r="Y116" s="180" cm="1">
        <f t="array" aca="1" ref="Y116" ca="1">IF(AND($B116=Y$93,$B116=$B117-1),NPV(real_discount_rate,OFFSET(Y77,,,,COUNTA($C$54:$BB$54)-COUNTA($C$54:Y$54)+1)-OFFSET(Y78,,,,COUNTA($C$54:$BB$54)-COUNTA($C$54:Y$54)+1))*(1+real_discount_rate),IF($B116=Y$2,Y$6,0))</f>
        <v>67.821017276471352</v>
      </c>
      <c r="Z116" s="180" cm="1">
        <f t="array" aca="1" ref="Z116" ca="1">IF(AND($B116=Z$93,$B116=$B117-1),NPV(real_discount_rate,OFFSET(Z77,,,,COUNTA($C$54:$BB$54)-COUNTA($C$54:Z$54)+1)-OFFSET(Z78,,,,COUNTA($C$54:$BB$54)-COUNTA($C$54:Z$54)+1))*(1+real_discount_rate),IF($B116=Z$2,Z$6,0))</f>
        <v>0</v>
      </c>
      <c r="AA116" s="180" cm="1">
        <f t="array" aca="1" ref="AA116" ca="1">IF(AND($B116=AA$93,$B116=$B117-1),NPV(real_discount_rate,OFFSET(AA77,,,,COUNTA($C$54:$BB$54)-COUNTA($C$54:AA$54)+1)-OFFSET(AA78,,,,COUNTA($C$54:$BB$54)-COUNTA($C$54:AA$54)+1))*(1+real_discount_rate),IF($B116=AA$2,AA$6,0))</f>
        <v>0</v>
      </c>
      <c r="AB116" s="180" cm="1">
        <f t="array" aca="1" ref="AB116" ca="1">IF(AND($B116=AB$93,$B116=$B117-1),NPV(real_discount_rate,OFFSET(AB77,,,,COUNTA($C$54:$BB$54)-COUNTA($C$54:AB$54)+1)-OFFSET(AB78,,,,COUNTA($C$54:$BB$54)-COUNTA($C$54:AB$54)+1))*(1+real_discount_rate),IF($B116=AB$2,AB$6,0))</f>
        <v>0</v>
      </c>
      <c r="AC116" s="180" cm="1">
        <f t="array" aca="1" ref="AC116" ca="1">IF(AND($B116=AC$93,$B116=$B117-1),NPV(real_discount_rate,OFFSET(AC77,,,,COUNTA($C$54:$BB$54)-COUNTA($C$54:AC$54)+1)-OFFSET(AC78,,,,COUNTA($C$54:$BB$54)-COUNTA($C$54:AC$54)+1))*(1+real_discount_rate),IF($B116=AC$2,AC$6,0))</f>
        <v>0</v>
      </c>
      <c r="AD116" s="180" cm="1">
        <f t="array" aca="1" ref="AD116" ca="1">IF(AND($B116=AD$93,$B116=$B117-1),NPV(real_discount_rate,OFFSET(AD77,,,,COUNTA($C$54:$BB$54)-COUNTA($C$54:AD$54)+1)-OFFSET(AD78,,,,COUNTA($C$54:$BB$54)-COUNTA($C$54:AD$54)+1))*(1+real_discount_rate),IF($B116=AD$2,AD$6,0))</f>
        <v>0</v>
      </c>
      <c r="AE116" s="180" cm="1">
        <f t="array" aca="1" ref="AE116" ca="1">IF(AND($B116=AE$93,$B116=$B117-1),NPV(real_discount_rate,OFFSET(AE77,,,,COUNTA($C$54:$BB$54)-COUNTA($C$54:AE$54)+1)-OFFSET(AE78,,,,COUNTA($C$54:$BB$54)-COUNTA($C$54:AE$54)+1))*(1+real_discount_rate),IF($B116=AE$2,AE$6,0))</f>
        <v>0</v>
      </c>
      <c r="AF116" s="180" cm="1">
        <f t="array" aca="1" ref="AF116" ca="1">IF(AND($B116=AF$93,$B116=$B117-1),NPV(real_discount_rate,OFFSET(AF77,,,,COUNTA($C$54:$BB$54)-COUNTA($C$54:AF$54)+1)-OFFSET(AF78,,,,COUNTA($C$54:$BB$54)-COUNTA($C$54:AF$54)+1))*(1+real_discount_rate),IF($B116=AF$2,AF$6,0))</f>
        <v>0</v>
      </c>
      <c r="AG116" s="180" cm="1">
        <f t="array" aca="1" ref="AG116" ca="1">IF(AND($B116=AG$93,$B116=$B117-1),NPV(real_discount_rate,OFFSET(AG77,,,,COUNTA($C$54:$BB$54)-COUNTA($C$54:AG$54)+1)-OFFSET(AG78,,,,COUNTA($C$54:$BB$54)-COUNTA($C$54:AG$54)+1))*(1+real_discount_rate),IF($B116=AG$2,AG$6,0))</f>
        <v>0</v>
      </c>
      <c r="AH116" s="649" cm="1">
        <f t="array" aca="1" ref="AH116" ca="1">IF(AND($B116=AH$93,$B116=$B117-1),NPV(real_discount_rate,OFFSET(AH77,,,,COUNTA($C$54:$BB$54)-COUNTA($C$54:AH$54)+1)-OFFSET(AH78,,,,COUNTA($C$54:$BB$54)-COUNTA($C$54:AH$54)+1))*(1+real_discount_rate),IF($B116=AH$2,AH$6,0))</f>
        <v>0</v>
      </c>
      <c r="AI116" s="653"/>
      <c r="AJ116" s="653"/>
      <c r="AK116" s="653"/>
      <c r="AL116" s="653"/>
      <c r="AM116" s="653"/>
      <c r="AN116" s="653"/>
      <c r="AO116" s="653"/>
      <c r="AP116" s="653"/>
      <c r="AQ116" s="653"/>
      <c r="AR116" s="653"/>
      <c r="AS116" s="653"/>
      <c r="AT116" s="653"/>
      <c r="AU116" s="653"/>
      <c r="AV116" s="653"/>
      <c r="AW116" s="653"/>
      <c r="AX116" s="653"/>
      <c r="AY116" s="653"/>
      <c r="AZ116" s="653"/>
      <c r="BA116" s="653"/>
      <c r="BB116" s="182"/>
      <c r="BC116" s="410"/>
    </row>
    <row r="117" spans="2:55" x14ac:dyDescent="0.3">
      <c r="B117" s="28">
        <v>2044</v>
      </c>
      <c r="C117" s="179" cm="1">
        <f t="array" aca="1" ref="C117" ca="1">IF(AND($B117=C$93,$B117=$B118-1),NPV(real_discount_rate,OFFSET(C78,,,,COUNTA($C$54:$BB$54)-COUNTA($C$54:C$54)+1)-OFFSET(C79,,,,COUNTA($C$54:$BB$54)-COUNTA($C$54:C$54)+1))*(1+real_discount_rate),IF($B117=C$2,C$6,0))</f>
        <v>0</v>
      </c>
      <c r="D117" s="180" cm="1">
        <f t="array" aca="1" ref="D117" ca="1">IF(AND($B117=D$93,$B117=$B118-1),NPV(real_discount_rate,OFFSET(D78,,,,COUNTA($C$54:$BB$54)-COUNTA($C$54:D$54)+1)-OFFSET(D79,,,,COUNTA($C$54:$BB$54)-COUNTA($C$54:D$54)+1))*(1+real_discount_rate),IF($B117=D$2,D$6,0))</f>
        <v>0</v>
      </c>
      <c r="E117" s="180" cm="1">
        <f t="array" aca="1" ref="E117" ca="1">IF(AND($B117=E$93,$B117=$B118-1),NPV(real_discount_rate,OFFSET(E78,,,,COUNTA($C$54:$BB$54)-COUNTA($C$54:E$54)+1)-OFFSET(E79,,,,COUNTA($C$54:$BB$54)-COUNTA($C$54:E$54)+1))*(1+real_discount_rate),IF($B117=E$2,E$6,0))</f>
        <v>0</v>
      </c>
      <c r="F117" s="180" cm="1">
        <f t="array" aca="1" ref="F117" ca="1">IF(AND($B117=F$93,$B117=$B118-1),NPV(real_discount_rate,OFFSET(F78,,,,COUNTA($C$54:$BB$54)-COUNTA($C$54:F$54)+1)-OFFSET(F79,,,,COUNTA($C$54:$BB$54)-COUNTA($C$54:F$54)+1))*(1+real_discount_rate),IF($B117=F$2,F$6,0))</f>
        <v>0</v>
      </c>
      <c r="G117" s="180" cm="1">
        <f t="array" aca="1" ref="G117" ca="1">IF(AND($B117=G$93,$B117=$B118-1),NPV(real_discount_rate,OFFSET(G78,,,,COUNTA($C$54:$BB$54)-COUNTA($C$54:G$54)+1)-OFFSET(G79,,,,COUNTA($C$54:$BB$54)-COUNTA($C$54:G$54)+1))*(1+real_discount_rate),IF($B117=G$2,G$6,0))</f>
        <v>0</v>
      </c>
      <c r="H117" s="180" cm="1">
        <f t="array" aca="1" ref="H117" ca="1">IF(AND($B117=H$93,$B117=$B118-1),NPV(real_discount_rate,OFFSET(H78,,,,COUNTA($C$54:$BB$54)-COUNTA($C$54:H$54)+1)-OFFSET(H79,,,,COUNTA($C$54:$BB$54)-COUNTA($C$54:H$54)+1))*(1+real_discount_rate),IF($B117=H$2,H$6,0))</f>
        <v>0</v>
      </c>
      <c r="I117" s="180" cm="1">
        <f t="array" aca="1" ref="I117" ca="1">IF(AND($B117=I$93,$B117=$B118-1),NPV(real_discount_rate,OFFSET(I78,,,,COUNTA($C$54:$BB$54)-COUNTA($C$54:I$54)+1)-OFFSET(I79,,,,COUNTA($C$54:$BB$54)-COUNTA($C$54:I$54)+1))*(1+real_discount_rate),IF($B117=I$2,I$6,0))</f>
        <v>0</v>
      </c>
      <c r="J117" s="180" cm="1">
        <f t="array" aca="1" ref="J117" ca="1">IF(AND($B117=J$93,$B117=$B118-1),NPV(real_discount_rate,OFFSET(J78,,,,COUNTA($C$54:$BB$54)-COUNTA($C$54:J$54)+1)-OFFSET(J79,,,,COUNTA($C$54:$BB$54)-COUNTA($C$54:J$54)+1))*(1+real_discount_rate),IF($B117=J$2,J$6,0))</f>
        <v>0</v>
      </c>
      <c r="K117" s="180" cm="1">
        <f t="array" aca="1" ref="K117" ca="1">IF(AND($B117=K$93,$B117=$B118-1),NPV(real_discount_rate,OFFSET(K78,,,,COUNTA($C$54:$BB$54)-COUNTA($C$54:K$54)+1)-OFFSET(K79,,,,COUNTA($C$54:$BB$54)-COUNTA($C$54:K$54)+1))*(1+real_discount_rate),IF($B117=K$2,K$6,0))</f>
        <v>0</v>
      </c>
      <c r="L117" s="180" cm="1">
        <f t="array" aca="1" ref="L117" ca="1">IF(AND($B117=L$93,$B117=$B118-1),NPV(real_discount_rate,OFFSET(L78,,,,COUNTA($C$54:$BB$54)-COUNTA($C$54:L$54)+1)-OFFSET(L79,,,,COUNTA($C$54:$BB$54)-COUNTA($C$54:L$54)+1))*(1+real_discount_rate),IF($B117=L$2,L$6,0))</f>
        <v>0</v>
      </c>
      <c r="M117" s="180" cm="1">
        <f t="array" aca="1" ref="M117" ca="1">IF(AND($B117=M$93,$B117=$B118-1),NPV(real_discount_rate,OFFSET(M78,,,,COUNTA($C$54:$BB$54)-COUNTA($C$54:M$54)+1)-OFFSET(M79,,,,COUNTA($C$54:$BB$54)-COUNTA($C$54:M$54)+1))*(1+real_discount_rate),IF($B117=M$2,M$6,0))</f>
        <v>0</v>
      </c>
      <c r="N117" s="180" cm="1">
        <f t="array" aca="1" ref="N117" ca="1">IF(AND($B117=N$93,$B117=$B118-1),NPV(real_discount_rate,OFFSET(N78,,,,COUNTA($C$54:$BB$54)-COUNTA($C$54:N$54)+1)-OFFSET(N79,,,,COUNTA($C$54:$BB$54)-COUNTA($C$54:N$54)+1))*(1+real_discount_rate),IF($B117=N$2,N$6,0))</f>
        <v>0</v>
      </c>
      <c r="O117" s="180" cm="1">
        <f t="array" aca="1" ref="O117" ca="1">IF(AND($B117=O$93,$B117=$B118-1),NPV(real_discount_rate,OFFSET(O78,,,,COUNTA($C$54:$BB$54)-COUNTA($C$54:O$54)+1)-OFFSET(O79,,,,COUNTA($C$54:$BB$54)-COUNTA($C$54:O$54)+1))*(1+real_discount_rate),IF($B117=O$2,O$6,0))</f>
        <v>0</v>
      </c>
      <c r="P117" s="180" cm="1">
        <f t="array" aca="1" ref="P117" ca="1">IF(AND($B117=P$93,$B117=$B118-1),NPV(real_discount_rate,OFFSET(P78,,,,COUNTA($C$54:$BB$54)-COUNTA($C$54:P$54)+1)-OFFSET(P79,,,,COUNTA($C$54:$BB$54)-COUNTA($C$54:P$54)+1))*(1+real_discount_rate),IF($B117=P$2,P$6,0))</f>
        <v>0</v>
      </c>
      <c r="Q117" s="180" cm="1">
        <f t="array" aca="1" ref="Q117" ca="1">IF(AND($B117=Q$93,$B117=$B118-1),NPV(real_discount_rate,OFFSET(Q78,,,,COUNTA($C$54:$BB$54)-COUNTA($C$54:Q$54)+1)-OFFSET(Q79,,,,COUNTA($C$54:$BB$54)-COUNTA($C$54:Q$54)+1))*(1+real_discount_rate),IF($B117=Q$2,Q$6,0))</f>
        <v>0</v>
      </c>
      <c r="R117" s="180" cm="1">
        <f t="array" aca="1" ref="R117" ca="1">IF(AND($B117=R$93,$B117=$B118-1),NPV(real_discount_rate,OFFSET(R78,,,,COUNTA($C$54:$BB$54)-COUNTA($C$54:R$54)+1)-OFFSET(R79,,,,COUNTA($C$54:$BB$54)-COUNTA($C$54:R$54)+1))*(1+real_discount_rate),IF($B117=R$2,R$6,0))</f>
        <v>0</v>
      </c>
      <c r="S117" s="180" cm="1">
        <f t="array" aca="1" ref="S117" ca="1">IF(AND($B117=S$93,$B117=$B118-1),NPV(real_discount_rate,OFFSET(S78,,,,COUNTA($C$54:$BB$54)-COUNTA($C$54:S$54)+1)-OFFSET(S79,,,,COUNTA($C$54:$BB$54)-COUNTA($C$54:S$54)+1))*(1+real_discount_rate),IF($B117=S$2,S$6,0))</f>
        <v>0</v>
      </c>
      <c r="T117" s="180" cm="1">
        <f t="array" aca="1" ref="T117" ca="1">IF(AND($B117=T$93,$B117=$B118-1),NPV(real_discount_rate,OFFSET(T78,,,,COUNTA($C$54:$BB$54)-COUNTA($C$54:T$54)+1)-OFFSET(T79,,,,COUNTA($C$54:$BB$54)-COUNTA($C$54:T$54)+1))*(1+real_discount_rate),IF($B117=T$2,T$6,0))</f>
        <v>0</v>
      </c>
      <c r="U117" s="180" cm="1">
        <f t="array" aca="1" ref="U117" ca="1">IF(AND($B117=U$93,$B117=$B118-1),NPV(real_discount_rate,OFFSET(U78,,,,COUNTA($C$54:$BB$54)-COUNTA($C$54:U$54)+1)-OFFSET(U79,,,,COUNTA($C$54:$BB$54)-COUNTA($C$54:U$54)+1))*(1+real_discount_rate),IF($B117=U$2,U$6,0))</f>
        <v>0</v>
      </c>
      <c r="V117" s="180" cm="1">
        <f t="array" aca="1" ref="V117" ca="1">IF(AND($B117=V$93,$B117=$B118-1),NPV(real_discount_rate,OFFSET(V78,,,,COUNTA($C$54:$BB$54)-COUNTA($C$54:V$54)+1)-OFFSET(V79,,,,COUNTA($C$54:$BB$54)-COUNTA($C$54:V$54)+1))*(1+real_discount_rate),IF($B117=V$2,V$6,0))</f>
        <v>0</v>
      </c>
      <c r="W117" s="180" cm="1">
        <f t="array" aca="1" ref="W117" ca="1">IF(AND($B117=W$93,$B117=$B118-1),NPV(real_discount_rate,OFFSET(W78,,,,COUNTA($C$54:$BB$54)-COUNTA($C$54:W$54)+1)-OFFSET(W79,,,,COUNTA($C$54:$BB$54)-COUNTA($C$54:W$54)+1))*(1+real_discount_rate),IF($B117=W$2,W$6,0))</f>
        <v>0</v>
      </c>
      <c r="X117" s="180" cm="1">
        <f t="array" aca="1" ref="X117" ca="1">IF(AND($B117=X$93,$B117=$B118-1),NPV(real_discount_rate,OFFSET(X78,,,,COUNTA($C$54:$BB$54)-COUNTA($C$54:X$54)+1)-OFFSET(X79,,,,COUNTA($C$54:$BB$54)-COUNTA($C$54:X$54)+1))*(1+real_discount_rate),IF($B117=X$2,X$6,0))</f>
        <v>0</v>
      </c>
      <c r="Y117" s="180" cm="1">
        <f t="array" aca="1" ref="Y117" ca="1">IF(AND($B117=Y$93,$B117=$B118-1),NPV(real_discount_rate,OFFSET(Y78,,,,COUNTA($C$54:$BB$54)-COUNTA($C$54:Y$54)+1)-OFFSET(Y79,,,,COUNTA($C$54:$BB$54)-COUNTA($C$54:Y$54)+1))*(1+real_discount_rate),IF($B117=Y$2,Y$6,0))</f>
        <v>0</v>
      </c>
      <c r="Z117" s="180" cm="1">
        <f t="array" aca="1" ref="Z117" ca="1">IF(AND($B117=Z$93,$B117=$B118-1),NPV(real_discount_rate,OFFSET(Z78,,,,COUNTA($C$54:$BB$54)-COUNTA($C$54:Z$54)+1)-OFFSET(Z79,,,,COUNTA($C$54:$BB$54)-COUNTA($C$54:Z$54)+1))*(1+real_discount_rate),IF($B117=Z$2,Z$6,0))</f>
        <v>72.234466215628998</v>
      </c>
      <c r="AA117" s="180" cm="1">
        <f t="array" aca="1" ref="AA117" ca="1">IF(AND($B117=AA$93,$B117=$B118-1),NPV(real_discount_rate,OFFSET(AA78,,,,COUNTA($C$54:$BB$54)-COUNTA($C$54:AA$54)+1)-OFFSET(AA79,,,,COUNTA($C$54:$BB$54)-COUNTA($C$54:AA$54)+1))*(1+real_discount_rate),IF($B117=AA$2,AA$6,0))</f>
        <v>0</v>
      </c>
      <c r="AB117" s="180" cm="1">
        <f t="array" aca="1" ref="AB117" ca="1">IF(AND($B117=AB$93,$B117=$B118-1),NPV(real_discount_rate,OFFSET(AB78,,,,COUNTA($C$54:$BB$54)-COUNTA($C$54:AB$54)+1)-OFFSET(AB79,,,,COUNTA($C$54:$BB$54)-COUNTA($C$54:AB$54)+1))*(1+real_discount_rate),IF($B117=AB$2,AB$6,0))</f>
        <v>0</v>
      </c>
      <c r="AC117" s="180" cm="1">
        <f t="array" aca="1" ref="AC117" ca="1">IF(AND($B117=AC$93,$B117=$B118-1),NPV(real_discount_rate,OFFSET(AC78,,,,COUNTA($C$54:$BB$54)-COUNTA($C$54:AC$54)+1)-OFFSET(AC79,,,,COUNTA($C$54:$BB$54)-COUNTA($C$54:AC$54)+1))*(1+real_discount_rate),IF($B117=AC$2,AC$6,0))</f>
        <v>0</v>
      </c>
      <c r="AD117" s="180" cm="1">
        <f t="array" aca="1" ref="AD117" ca="1">IF(AND($B117=AD$93,$B117=$B118-1),NPV(real_discount_rate,OFFSET(AD78,,,,COUNTA($C$54:$BB$54)-COUNTA($C$54:AD$54)+1)-OFFSET(AD79,,,,COUNTA($C$54:$BB$54)-COUNTA($C$54:AD$54)+1))*(1+real_discount_rate),IF($B117=AD$2,AD$6,0))</f>
        <v>0</v>
      </c>
      <c r="AE117" s="180" cm="1">
        <f t="array" aca="1" ref="AE117" ca="1">IF(AND($B117=AE$93,$B117=$B118-1),NPV(real_discount_rate,OFFSET(AE78,,,,COUNTA($C$54:$BB$54)-COUNTA($C$54:AE$54)+1)-OFFSET(AE79,,,,COUNTA($C$54:$BB$54)-COUNTA($C$54:AE$54)+1))*(1+real_discount_rate),IF($B117=AE$2,AE$6,0))</f>
        <v>0</v>
      </c>
      <c r="AF117" s="180" cm="1">
        <f t="array" aca="1" ref="AF117" ca="1">IF(AND($B117=AF$93,$B117=$B118-1),NPV(real_discount_rate,OFFSET(AF78,,,,COUNTA($C$54:$BB$54)-COUNTA($C$54:AF$54)+1)-OFFSET(AF79,,,,COUNTA($C$54:$BB$54)-COUNTA($C$54:AF$54)+1))*(1+real_discount_rate),IF($B117=AF$2,AF$6,0))</f>
        <v>0</v>
      </c>
      <c r="AG117" s="180" cm="1">
        <f t="array" aca="1" ref="AG117" ca="1">IF(AND($B117=AG$93,$B117=$B118-1),NPV(real_discount_rate,OFFSET(AG78,,,,COUNTA($C$54:$BB$54)-COUNTA($C$54:AG$54)+1)-OFFSET(AG79,,,,COUNTA($C$54:$BB$54)-COUNTA($C$54:AG$54)+1))*(1+real_discount_rate),IF($B117=AG$2,AG$6,0))</f>
        <v>0</v>
      </c>
      <c r="AH117" s="649" cm="1">
        <f t="array" aca="1" ref="AH117" ca="1">IF(AND($B117=AH$93,$B117=$B118-1),NPV(real_discount_rate,OFFSET(AH78,,,,COUNTA($C$54:$BB$54)-COUNTA($C$54:AH$54)+1)-OFFSET(AH79,,,,COUNTA($C$54:$BB$54)-COUNTA($C$54:AH$54)+1))*(1+real_discount_rate),IF($B117=AH$2,AH$6,0))</f>
        <v>0</v>
      </c>
      <c r="AI117" s="653"/>
      <c r="AJ117" s="653"/>
      <c r="AK117" s="653"/>
      <c r="AL117" s="653"/>
      <c r="AM117" s="653"/>
      <c r="AN117" s="653"/>
      <c r="AO117" s="653"/>
      <c r="AP117" s="653"/>
      <c r="AQ117" s="653"/>
      <c r="AR117" s="653"/>
      <c r="AS117" s="653"/>
      <c r="AT117" s="653"/>
      <c r="AU117" s="653"/>
      <c r="AV117" s="653"/>
      <c r="AW117" s="653"/>
      <c r="AX117" s="653"/>
      <c r="AY117" s="653"/>
      <c r="AZ117" s="653"/>
      <c r="BA117" s="653"/>
      <c r="BB117" s="182"/>
      <c r="BC117" s="410"/>
    </row>
    <row r="118" spans="2:55" x14ac:dyDescent="0.3">
      <c r="B118" s="28">
        <v>2045</v>
      </c>
      <c r="C118" s="179" cm="1">
        <f t="array" aca="1" ref="C118" ca="1">IF(AND($B118=C$93,$B118=$B119-1),NPV(real_discount_rate,OFFSET(C79,,,,COUNTA($C$54:$BB$54)-COUNTA($C$54:C$54)+1)-OFFSET(C80,,,,COUNTA($C$54:$BB$54)-COUNTA($C$54:C$54)+1))*(1+real_discount_rate),IF($B118=C$2,C$6,0))</f>
        <v>0</v>
      </c>
      <c r="D118" s="180" cm="1">
        <f t="array" aca="1" ref="D118" ca="1">IF(AND($B118=D$93,$B118=$B119-1),NPV(real_discount_rate,OFFSET(D79,,,,COUNTA($C$54:$BB$54)-COUNTA($C$54:D$54)+1)-OFFSET(D80,,,,COUNTA($C$54:$BB$54)-COUNTA($C$54:D$54)+1))*(1+real_discount_rate),IF($B118=D$2,D$6,0))</f>
        <v>0</v>
      </c>
      <c r="E118" s="180" cm="1">
        <f t="array" aca="1" ref="E118" ca="1">IF(AND($B118=E$93,$B118=$B119-1),NPV(real_discount_rate,OFFSET(E79,,,,COUNTA($C$54:$BB$54)-COUNTA($C$54:E$54)+1)-OFFSET(E80,,,,COUNTA($C$54:$BB$54)-COUNTA($C$54:E$54)+1))*(1+real_discount_rate),IF($B118=E$2,E$6,0))</f>
        <v>0</v>
      </c>
      <c r="F118" s="180" cm="1">
        <f t="array" aca="1" ref="F118" ca="1">IF(AND($B118=F$93,$B118=$B119-1),NPV(real_discount_rate,OFFSET(F79,,,,COUNTA($C$54:$BB$54)-COUNTA($C$54:F$54)+1)-OFFSET(F80,,,,COUNTA($C$54:$BB$54)-COUNTA($C$54:F$54)+1))*(1+real_discount_rate),IF($B118=F$2,F$6,0))</f>
        <v>0</v>
      </c>
      <c r="G118" s="180" cm="1">
        <f t="array" aca="1" ref="G118" ca="1">IF(AND($B118=G$93,$B118=$B119-1),NPV(real_discount_rate,OFFSET(G79,,,,COUNTA($C$54:$BB$54)-COUNTA($C$54:G$54)+1)-OFFSET(G80,,,,COUNTA($C$54:$BB$54)-COUNTA($C$54:G$54)+1))*(1+real_discount_rate),IF($B118=G$2,G$6,0))</f>
        <v>0</v>
      </c>
      <c r="H118" s="180" cm="1">
        <f t="array" aca="1" ref="H118" ca="1">IF(AND($B118=H$93,$B118=$B119-1),NPV(real_discount_rate,OFFSET(H79,,,,COUNTA($C$54:$BB$54)-COUNTA($C$54:H$54)+1)-OFFSET(H80,,,,COUNTA($C$54:$BB$54)-COUNTA($C$54:H$54)+1))*(1+real_discount_rate),IF($B118=H$2,H$6,0))</f>
        <v>0</v>
      </c>
      <c r="I118" s="180" cm="1">
        <f t="array" aca="1" ref="I118" ca="1">IF(AND($B118=I$93,$B118=$B119-1),NPV(real_discount_rate,OFFSET(I79,,,,COUNTA($C$54:$BB$54)-COUNTA($C$54:I$54)+1)-OFFSET(I80,,,,COUNTA($C$54:$BB$54)-COUNTA($C$54:I$54)+1))*(1+real_discount_rate),IF($B118=I$2,I$6,0))</f>
        <v>0</v>
      </c>
      <c r="J118" s="180" cm="1">
        <f t="array" aca="1" ref="J118" ca="1">IF(AND($B118=J$93,$B118=$B119-1),NPV(real_discount_rate,OFFSET(J79,,,,COUNTA($C$54:$BB$54)-COUNTA($C$54:J$54)+1)-OFFSET(J80,,,,COUNTA($C$54:$BB$54)-COUNTA($C$54:J$54)+1))*(1+real_discount_rate),IF($B118=J$2,J$6,0))</f>
        <v>0</v>
      </c>
      <c r="K118" s="180" cm="1">
        <f t="array" aca="1" ref="K118" ca="1">IF(AND($B118=K$93,$B118=$B119-1),NPV(real_discount_rate,OFFSET(K79,,,,COUNTA($C$54:$BB$54)-COUNTA($C$54:K$54)+1)-OFFSET(K80,,,,COUNTA($C$54:$BB$54)-COUNTA($C$54:K$54)+1))*(1+real_discount_rate),IF($B118=K$2,K$6,0))</f>
        <v>0</v>
      </c>
      <c r="L118" s="180" cm="1">
        <f t="array" aca="1" ref="L118" ca="1">IF(AND($B118=L$93,$B118=$B119-1),NPV(real_discount_rate,OFFSET(L79,,,,COUNTA($C$54:$BB$54)-COUNTA($C$54:L$54)+1)-OFFSET(L80,,,,COUNTA($C$54:$BB$54)-COUNTA($C$54:L$54)+1))*(1+real_discount_rate),IF($B118=L$2,L$6,0))</f>
        <v>0</v>
      </c>
      <c r="M118" s="180" cm="1">
        <f t="array" aca="1" ref="M118" ca="1">IF(AND($B118=M$93,$B118=$B119-1),NPV(real_discount_rate,OFFSET(M79,,,,COUNTA($C$54:$BB$54)-COUNTA($C$54:M$54)+1)-OFFSET(M80,,,,COUNTA($C$54:$BB$54)-COUNTA($C$54:M$54)+1))*(1+real_discount_rate),IF($B118=M$2,M$6,0))</f>
        <v>0</v>
      </c>
      <c r="N118" s="180" cm="1">
        <f t="array" aca="1" ref="N118" ca="1">IF(AND($B118=N$93,$B118=$B119-1),NPV(real_discount_rate,OFFSET(N79,,,,COUNTA($C$54:$BB$54)-COUNTA($C$54:N$54)+1)-OFFSET(N80,,,,COUNTA($C$54:$BB$54)-COUNTA($C$54:N$54)+1))*(1+real_discount_rate),IF($B118=N$2,N$6,0))</f>
        <v>0</v>
      </c>
      <c r="O118" s="180" cm="1">
        <f t="array" aca="1" ref="O118" ca="1">IF(AND($B118=O$93,$B118=$B119-1),NPV(real_discount_rate,OFFSET(O79,,,,COUNTA($C$54:$BB$54)-COUNTA($C$54:O$54)+1)-OFFSET(O80,,,,COUNTA($C$54:$BB$54)-COUNTA($C$54:O$54)+1))*(1+real_discount_rate),IF($B118=O$2,O$6,0))</f>
        <v>0</v>
      </c>
      <c r="P118" s="180" cm="1">
        <f t="array" aca="1" ref="P118" ca="1">IF(AND($B118=P$93,$B118=$B119-1),NPV(real_discount_rate,OFFSET(P79,,,,COUNTA($C$54:$BB$54)-COUNTA($C$54:P$54)+1)-OFFSET(P80,,,,COUNTA($C$54:$BB$54)-COUNTA($C$54:P$54)+1))*(1+real_discount_rate),IF($B118=P$2,P$6,0))</f>
        <v>0</v>
      </c>
      <c r="Q118" s="180" cm="1">
        <f t="array" aca="1" ref="Q118" ca="1">IF(AND($B118=Q$93,$B118=$B119-1),NPV(real_discount_rate,OFFSET(Q79,,,,COUNTA($C$54:$BB$54)-COUNTA($C$54:Q$54)+1)-OFFSET(Q80,,,,COUNTA($C$54:$BB$54)-COUNTA($C$54:Q$54)+1))*(1+real_discount_rate),IF($B118=Q$2,Q$6,0))</f>
        <v>0</v>
      </c>
      <c r="R118" s="180" cm="1">
        <f t="array" aca="1" ref="R118" ca="1">IF(AND($B118=R$93,$B118=$B119-1),NPV(real_discount_rate,OFFSET(R79,,,,COUNTA($C$54:$BB$54)-COUNTA($C$54:R$54)+1)-OFFSET(R80,,,,COUNTA($C$54:$BB$54)-COUNTA($C$54:R$54)+1))*(1+real_discount_rate),IF($B118=R$2,R$6,0))</f>
        <v>0</v>
      </c>
      <c r="S118" s="180" cm="1">
        <f t="array" aca="1" ref="S118" ca="1">IF(AND($B118=S$93,$B118=$B119-1),NPV(real_discount_rate,OFFSET(S79,,,,COUNTA($C$54:$BB$54)-COUNTA($C$54:S$54)+1)-OFFSET(S80,,,,COUNTA($C$54:$BB$54)-COUNTA($C$54:S$54)+1))*(1+real_discount_rate),IF($B118=S$2,S$6,0))</f>
        <v>0</v>
      </c>
      <c r="T118" s="180" cm="1">
        <f t="array" aca="1" ref="T118" ca="1">IF(AND($B118=T$93,$B118=$B119-1),NPV(real_discount_rate,OFFSET(T79,,,,COUNTA($C$54:$BB$54)-COUNTA($C$54:T$54)+1)-OFFSET(T80,,,,COUNTA($C$54:$BB$54)-COUNTA($C$54:T$54)+1))*(1+real_discount_rate),IF($B118=T$2,T$6,0))</f>
        <v>0</v>
      </c>
      <c r="U118" s="180" cm="1">
        <f t="array" aca="1" ref="U118" ca="1">IF(AND($B118=U$93,$B118=$B119-1),NPV(real_discount_rate,OFFSET(U79,,,,COUNTA($C$54:$BB$54)-COUNTA($C$54:U$54)+1)-OFFSET(U80,,,,COUNTA($C$54:$BB$54)-COUNTA($C$54:U$54)+1))*(1+real_discount_rate),IF($B118=U$2,U$6,0))</f>
        <v>0</v>
      </c>
      <c r="V118" s="180" cm="1">
        <f t="array" aca="1" ref="V118" ca="1">IF(AND($B118=V$93,$B118=$B119-1),NPV(real_discount_rate,OFFSET(V79,,,,COUNTA($C$54:$BB$54)-COUNTA($C$54:V$54)+1)-OFFSET(V80,,,,COUNTA($C$54:$BB$54)-COUNTA($C$54:V$54)+1))*(1+real_discount_rate),IF($B118=V$2,V$6,0))</f>
        <v>0</v>
      </c>
      <c r="W118" s="180" cm="1">
        <f t="array" aca="1" ref="W118" ca="1">IF(AND($B118=W$93,$B118=$B119-1),NPV(real_discount_rate,OFFSET(W79,,,,COUNTA($C$54:$BB$54)-COUNTA($C$54:W$54)+1)-OFFSET(W80,,,,COUNTA($C$54:$BB$54)-COUNTA($C$54:W$54)+1))*(1+real_discount_rate),IF($B118=W$2,W$6,0))</f>
        <v>0</v>
      </c>
      <c r="X118" s="180" cm="1">
        <f t="array" aca="1" ref="X118" ca="1">IF(AND($B118=X$93,$B118=$B119-1),NPV(real_discount_rate,OFFSET(X79,,,,COUNTA($C$54:$BB$54)-COUNTA($C$54:X$54)+1)-OFFSET(X80,,,,COUNTA($C$54:$BB$54)-COUNTA($C$54:X$54)+1))*(1+real_discount_rate),IF($B118=X$2,X$6,0))</f>
        <v>0</v>
      </c>
      <c r="Y118" s="180" cm="1">
        <f t="array" aca="1" ref="Y118" ca="1">IF(AND($B118=Y$93,$B118=$B119-1),NPV(real_discount_rate,OFFSET(Y79,,,,COUNTA($C$54:$BB$54)-COUNTA($C$54:Y$54)+1)-OFFSET(Y80,,,,COUNTA($C$54:$BB$54)-COUNTA($C$54:Y$54)+1))*(1+real_discount_rate),IF($B118=Y$2,Y$6,0))</f>
        <v>0</v>
      </c>
      <c r="Z118" s="180" cm="1">
        <f t="array" aca="1" ref="Z118" ca="1">IF(AND($B118=Z$93,$B118=$B119-1),NPV(real_discount_rate,OFFSET(Z79,,,,COUNTA($C$54:$BB$54)-COUNTA($C$54:Z$54)+1)-OFFSET(Z80,,,,COUNTA($C$54:$BB$54)-COUNTA($C$54:Z$54)+1))*(1+real_discount_rate),IF($B118=Z$2,Z$6,0))</f>
        <v>0</v>
      </c>
      <c r="AA118" s="180" cm="1">
        <f t="array" aca="1" ref="AA118" ca="1">IF(AND($B118=AA$93,$B118=$B119-1),NPV(real_discount_rate,OFFSET(AA79,,,,COUNTA($C$54:$BB$54)-COUNTA($C$54:AA$54)+1)-OFFSET(AA80,,,,COUNTA($C$54:$BB$54)-COUNTA($C$54:AA$54)+1))*(1+real_discount_rate),IF($B118=AA$2,AA$6,0))</f>
        <v>71.820420109790078</v>
      </c>
      <c r="AB118" s="180" cm="1">
        <f t="array" aca="1" ref="AB118" ca="1">IF(AND($B118=AB$93,$B118=$B119-1),NPV(real_discount_rate,OFFSET(AB79,,,,COUNTA($C$54:$BB$54)-COUNTA($C$54:AB$54)+1)-OFFSET(AB80,,,,COUNTA($C$54:$BB$54)-COUNTA($C$54:AB$54)+1))*(1+real_discount_rate),IF($B118=AB$2,AB$6,0))</f>
        <v>0</v>
      </c>
      <c r="AC118" s="180" cm="1">
        <f t="array" aca="1" ref="AC118" ca="1">IF(AND($B118=AC$93,$B118=$B119-1),NPV(real_discount_rate,OFFSET(AC79,,,,COUNTA($C$54:$BB$54)-COUNTA($C$54:AC$54)+1)-OFFSET(AC80,,,,COUNTA($C$54:$BB$54)-COUNTA($C$54:AC$54)+1))*(1+real_discount_rate),IF($B118=AC$2,AC$6,0))</f>
        <v>0</v>
      </c>
      <c r="AD118" s="180" cm="1">
        <f t="array" aca="1" ref="AD118" ca="1">IF(AND($B118=AD$93,$B118=$B119-1),NPV(real_discount_rate,OFFSET(AD79,,,,COUNTA($C$54:$BB$54)-COUNTA($C$54:AD$54)+1)-OFFSET(AD80,,,,COUNTA($C$54:$BB$54)-COUNTA($C$54:AD$54)+1))*(1+real_discount_rate),IF($B118=AD$2,AD$6,0))</f>
        <v>0</v>
      </c>
      <c r="AE118" s="180" cm="1">
        <f t="array" aca="1" ref="AE118" ca="1">IF(AND($B118=AE$93,$B118=$B119-1),NPV(real_discount_rate,OFFSET(AE79,,,,COUNTA($C$54:$BB$54)-COUNTA($C$54:AE$54)+1)-OFFSET(AE80,,,,COUNTA($C$54:$BB$54)-COUNTA($C$54:AE$54)+1))*(1+real_discount_rate),IF($B118=AE$2,AE$6,0))</f>
        <v>0</v>
      </c>
      <c r="AF118" s="180" cm="1">
        <f t="array" aca="1" ref="AF118" ca="1">IF(AND($B118=AF$93,$B118=$B119-1),NPV(real_discount_rate,OFFSET(AF79,,,,COUNTA($C$54:$BB$54)-COUNTA($C$54:AF$54)+1)-OFFSET(AF80,,,,COUNTA($C$54:$BB$54)-COUNTA($C$54:AF$54)+1))*(1+real_discount_rate),IF($B118=AF$2,AF$6,0))</f>
        <v>0</v>
      </c>
      <c r="AG118" s="180" cm="1">
        <f t="array" aca="1" ref="AG118" ca="1">IF(AND($B118=AG$93,$B118=$B119-1),NPV(real_discount_rate,OFFSET(AG79,,,,COUNTA($C$54:$BB$54)-COUNTA($C$54:AG$54)+1)-OFFSET(AG80,,,,COUNTA($C$54:$BB$54)-COUNTA($C$54:AG$54)+1))*(1+real_discount_rate),IF($B118=AG$2,AG$6,0))</f>
        <v>0</v>
      </c>
      <c r="AH118" s="649" cm="1">
        <f t="array" aca="1" ref="AH118" ca="1">IF(AND($B118=AH$93,$B118=$B119-1),NPV(real_discount_rate,OFFSET(AH79,,,,COUNTA($C$54:$BB$54)-COUNTA($C$54:AH$54)+1)-OFFSET(AH80,,,,COUNTA($C$54:$BB$54)-COUNTA($C$54:AH$54)+1))*(1+real_discount_rate),IF($B118=AH$2,AH$6,0))</f>
        <v>0</v>
      </c>
      <c r="AI118" s="653"/>
      <c r="AJ118" s="653"/>
      <c r="AK118" s="653"/>
      <c r="AL118" s="653"/>
      <c r="AM118" s="653"/>
      <c r="AN118" s="653"/>
      <c r="AO118" s="653"/>
      <c r="AP118" s="653"/>
      <c r="AQ118" s="653"/>
      <c r="AR118" s="653"/>
      <c r="AS118" s="653"/>
      <c r="AT118" s="653"/>
      <c r="AU118" s="653"/>
      <c r="AV118" s="653"/>
      <c r="AW118" s="653"/>
      <c r="AX118" s="653"/>
      <c r="AY118" s="653"/>
      <c r="AZ118" s="653"/>
      <c r="BA118" s="653"/>
      <c r="BB118" s="182"/>
      <c r="BC118" s="410"/>
    </row>
    <row r="119" spans="2:55" x14ac:dyDescent="0.3">
      <c r="B119" s="28">
        <v>2046</v>
      </c>
      <c r="C119" s="179" cm="1">
        <f t="array" aca="1" ref="C119" ca="1">IF(AND($B119=C$93,$B119=$B120-1),NPV(real_discount_rate,OFFSET(C80,,,,COUNTA($C$54:$BB$54)-COUNTA($C$54:C$54)+1)-OFFSET(C81,,,,COUNTA($C$54:$BB$54)-COUNTA($C$54:C$54)+1))*(1+real_discount_rate),IF($B119=C$2,C$6,0))</f>
        <v>0</v>
      </c>
      <c r="D119" s="180" cm="1">
        <f t="array" aca="1" ref="D119" ca="1">IF(AND($B119=D$93,$B119=$B120-1),NPV(real_discount_rate,OFFSET(D80,,,,COUNTA($C$54:$BB$54)-COUNTA($C$54:D$54)+1)-OFFSET(D81,,,,COUNTA($C$54:$BB$54)-COUNTA($C$54:D$54)+1))*(1+real_discount_rate),IF($B119=D$2,D$6,0))</f>
        <v>0</v>
      </c>
      <c r="E119" s="180" cm="1">
        <f t="array" aca="1" ref="E119" ca="1">IF(AND($B119=E$93,$B119=$B120-1),NPV(real_discount_rate,OFFSET(E80,,,,COUNTA($C$54:$BB$54)-COUNTA($C$54:E$54)+1)-OFFSET(E81,,,,COUNTA($C$54:$BB$54)-COUNTA($C$54:E$54)+1))*(1+real_discount_rate),IF($B119=E$2,E$6,0))</f>
        <v>0</v>
      </c>
      <c r="F119" s="180" cm="1">
        <f t="array" aca="1" ref="F119" ca="1">IF(AND($B119=F$93,$B119=$B120-1),NPV(real_discount_rate,OFFSET(F80,,,,COUNTA($C$54:$BB$54)-COUNTA($C$54:F$54)+1)-OFFSET(F81,,,,COUNTA($C$54:$BB$54)-COUNTA($C$54:F$54)+1))*(1+real_discount_rate),IF($B119=F$2,F$6,0))</f>
        <v>0</v>
      </c>
      <c r="G119" s="180" cm="1">
        <f t="array" aca="1" ref="G119" ca="1">IF(AND($B119=G$93,$B119=$B120-1),NPV(real_discount_rate,OFFSET(G80,,,,COUNTA($C$54:$BB$54)-COUNTA($C$54:G$54)+1)-OFFSET(G81,,,,COUNTA($C$54:$BB$54)-COUNTA($C$54:G$54)+1))*(1+real_discount_rate),IF($B119=G$2,G$6,0))</f>
        <v>0</v>
      </c>
      <c r="H119" s="180" cm="1">
        <f t="array" aca="1" ref="H119" ca="1">IF(AND($B119=H$93,$B119=$B120-1),NPV(real_discount_rate,OFFSET(H80,,,,COUNTA($C$54:$BB$54)-COUNTA($C$54:H$54)+1)-OFFSET(H81,,,,COUNTA($C$54:$BB$54)-COUNTA($C$54:H$54)+1))*(1+real_discount_rate),IF($B119=H$2,H$6,0))</f>
        <v>0</v>
      </c>
      <c r="I119" s="180" cm="1">
        <f t="array" aca="1" ref="I119" ca="1">IF(AND($B119=I$93,$B119=$B120-1),NPV(real_discount_rate,OFFSET(I80,,,,COUNTA($C$54:$BB$54)-COUNTA($C$54:I$54)+1)-OFFSET(I81,,,,COUNTA($C$54:$BB$54)-COUNTA($C$54:I$54)+1))*(1+real_discount_rate),IF($B119=I$2,I$6,0))</f>
        <v>0</v>
      </c>
      <c r="J119" s="180" cm="1">
        <f t="array" aca="1" ref="J119" ca="1">IF(AND($B119=J$93,$B119=$B120-1),NPV(real_discount_rate,OFFSET(J80,,,,COUNTA($C$54:$BB$54)-COUNTA($C$54:J$54)+1)-OFFSET(J81,,,,COUNTA($C$54:$BB$54)-COUNTA($C$54:J$54)+1))*(1+real_discount_rate),IF($B119=J$2,J$6,0))</f>
        <v>0</v>
      </c>
      <c r="K119" s="180" cm="1">
        <f t="array" aca="1" ref="K119" ca="1">IF(AND($B119=K$93,$B119=$B120-1),NPV(real_discount_rate,OFFSET(K80,,,,COUNTA($C$54:$BB$54)-COUNTA($C$54:K$54)+1)-OFFSET(K81,,,,COUNTA($C$54:$BB$54)-COUNTA($C$54:K$54)+1))*(1+real_discount_rate),IF($B119=K$2,K$6,0))</f>
        <v>0</v>
      </c>
      <c r="L119" s="180" cm="1">
        <f t="array" aca="1" ref="L119" ca="1">IF(AND($B119=L$93,$B119=$B120-1),NPV(real_discount_rate,OFFSET(L80,,,,COUNTA($C$54:$BB$54)-COUNTA($C$54:L$54)+1)-OFFSET(L81,,,,COUNTA($C$54:$BB$54)-COUNTA($C$54:L$54)+1))*(1+real_discount_rate),IF($B119=L$2,L$6,0))</f>
        <v>0</v>
      </c>
      <c r="M119" s="180" cm="1">
        <f t="array" aca="1" ref="M119" ca="1">IF(AND($B119=M$93,$B119=$B120-1),NPV(real_discount_rate,OFFSET(M80,,,,COUNTA($C$54:$BB$54)-COUNTA($C$54:M$54)+1)-OFFSET(M81,,,,COUNTA($C$54:$BB$54)-COUNTA($C$54:M$54)+1))*(1+real_discount_rate),IF($B119=M$2,M$6,0))</f>
        <v>0</v>
      </c>
      <c r="N119" s="180" cm="1">
        <f t="array" aca="1" ref="N119" ca="1">IF(AND($B119=N$93,$B119=$B120-1),NPV(real_discount_rate,OFFSET(N80,,,,COUNTA($C$54:$BB$54)-COUNTA($C$54:N$54)+1)-OFFSET(N81,,,,COUNTA($C$54:$BB$54)-COUNTA($C$54:N$54)+1))*(1+real_discount_rate),IF($B119=N$2,N$6,0))</f>
        <v>0</v>
      </c>
      <c r="O119" s="180" cm="1">
        <f t="array" aca="1" ref="O119" ca="1">IF(AND($B119=O$93,$B119=$B120-1),NPV(real_discount_rate,OFFSET(O80,,,,COUNTA($C$54:$BB$54)-COUNTA($C$54:O$54)+1)-OFFSET(O81,,,,COUNTA($C$54:$BB$54)-COUNTA($C$54:O$54)+1))*(1+real_discount_rate),IF($B119=O$2,O$6,0))</f>
        <v>0</v>
      </c>
      <c r="P119" s="180" cm="1">
        <f t="array" aca="1" ref="P119" ca="1">IF(AND($B119=P$93,$B119=$B120-1),NPV(real_discount_rate,OFFSET(P80,,,,COUNTA($C$54:$BB$54)-COUNTA($C$54:P$54)+1)-OFFSET(P81,,,,COUNTA($C$54:$BB$54)-COUNTA($C$54:P$54)+1))*(1+real_discount_rate),IF($B119=P$2,P$6,0))</f>
        <v>0</v>
      </c>
      <c r="Q119" s="180" cm="1">
        <f t="array" aca="1" ref="Q119" ca="1">IF(AND($B119=Q$93,$B119=$B120-1),NPV(real_discount_rate,OFFSET(Q80,,,,COUNTA($C$54:$BB$54)-COUNTA($C$54:Q$54)+1)-OFFSET(Q81,,,,COUNTA($C$54:$BB$54)-COUNTA($C$54:Q$54)+1))*(1+real_discount_rate),IF($B119=Q$2,Q$6,0))</f>
        <v>0</v>
      </c>
      <c r="R119" s="180" cm="1">
        <f t="array" aca="1" ref="R119" ca="1">IF(AND($B119=R$93,$B119=$B120-1),NPV(real_discount_rate,OFFSET(R80,,,,COUNTA($C$54:$BB$54)-COUNTA($C$54:R$54)+1)-OFFSET(R81,,,,COUNTA($C$54:$BB$54)-COUNTA($C$54:R$54)+1))*(1+real_discount_rate),IF($B119=R$2,R$6,0))</f>
        <v>0</v>
      </c>
      <c r="S119" s="180" cm="1">
        <f t="array" aca="1" ref="S119" ca="1">IF(AND($B119=S$93,$B119=$B120-1),NPV(real_discount_rate,OFFSET(S80,,,,COUNTA($C$54:$BB$54)-COUNTA($C$54:S$54)+1)-OFFSET(S81,,,,COUNTA($C$54:$BB$54)-COUNTA($C$54:S$54)+1))*(1+real_discount_rate),IF($B119=S$2,S$6,0))</f>
        <v>0</v>
      </c>
      <c r="T119" s="180" cm="1">
        <f t="array" aca="1" ref="T119" ca="1">IF(AND($B119=T$93,$B119=$B120-1),NPV(real_discount_rate,OFFSET(T80,,,,COUNTA($C$54:$BB$54)-COUNTA($C$54:T$54)+1)-OFFSET(T81,,,,COUNTA($C$54:$BB$54)-COUNTA($C$54:T$54)+1))*(1+real_discount_rate),IF($B119=T$2,T$6,0))</f>
        <v>0</v>
      </c>
      <c r="U119" s="180" cm="1">
        <f t="array" aca="1" ref="U119" ca="1">IF(AND($B119=U$93,$B119=$B120-1),NPV(real_discount_rate,OFFSET(U80,,,,COUNTA($C$54:$BB$54)-COUNTA($C$54:U$54)+1)-OFFSET(U81,,,,COUNTA($C$54:$BB$54)-COUNTA($C$54:U$54)+1))*(1+real_discount_rate),IF($B119=U$2,U$6,0))</f>
        <v>0</v>
      </c>
      <c r="V119" s="180" cm="1">
        <f t="array" aca="1" ref="V119" ca="1">IF(AND($B119=V$93,$B119=$B120-1),NPV(real_discount_rate,OFFSET(V80,,,,COUNTA($C$54:$BB$54)-COUNTA($C$54:V$54)+1)-OFFSET(V81,,,,COUNTA($C$54:$BB$54)-COUNTA($C$54:V$54)+1))*(1+real_discount_rate),IF($B119=V$2,V$6,0))</f>
        <v>0</v>
      </c>
      <c r="W119" s="180" cm="1">
        <f t="array" aca="1" ref="W119" ca="1">IF(AND($B119=W$93,$B119=$B120-1),NPV(real_discount_rate,OFFSET(W80,,,,COUNTA($C$54:$BB$54)-COUNTA($C$54:W$54)+1)-OFFSET(W81,,,,COUNTA($C$54:$BB$54)-COUNTA($C$54:W$54)+1))*(1+real_discount_rate),IF($B119=W$2,W$6,0))</f>
        <v>0</v>
      </c>
      <c r="X119" s="180" cm="1">
        <f t="array" aca="1" ref="X119" ca="1">IF(AND($B119=X$93,$B119=$B120-1),NPV(real_discount_rate,OFFSET(X80,,,,COUNTA($C$54:$BB$54)-COUNTA($C$54:X$54)+1)-OFFSET(X81,,,,COUNTA($C$54:$BB$54)-COUNTA($C$54:X$54)+1))*(1+real_discount_rate),IF($B119=X$2,X$6,0))</f>
        <v>0</v>
      </c>
      <c r="Y119" s="180" cm="1">
        <f t="array" aca="1" ref="Y119" ca="1">IF(AND($B119=Y$93,$B119=$B120-1),NPV(real_discount_rate,OFFSET(Y80,,,,COUNTA($C$54:$BB$54)-COUNTA($C$54:Y$54)+1)-OFFSET(Y81,,,,COUNTA($C$54:$BB$54)-COUNTA($C$54:Y$54)+1))*(1+real_discount_rate),IF($B119=Y$2,Y$6,0))</f>
        <v>0</v>
      </c>
      <c r="Z119" s="180" cm="1">
        <f t="array" aca="1" ref="Z119" ca="1">IF(AND($B119=Z$93,$B119=$B120-1),NPV(real_discount_rate,OFFSET(Z80,,,,COUNTA($C$54:$BB$54)-COUNTA($C$54:Z$54)+1)-OFFSET(Z81,,,,COUNTA($C$54:$BB$54)-COUNTA($C$54:Z$54)+1))*(1+real_discount_rate),IF($B119=Z$2,Z$6,0))</f>
        <v>0</v>
      </c>
      <c r="AA119" s="180" cm="1">
        <f t="array" aca="1" ref="AA119" ca="1">IF(AND($B119=AA$93,$B119=$B120-1),NPV(real_discount_rate,OFFSET(AA80,,,,COUNTA($C$54:$BB$54)-COUNTA($C$54:AA$54)+1)-OFFSET(AA81,,,,COUNTA($C$54:$BB$54)-COUNTA($C$54:AA$54)+1))*(1+real_discount_rate),IF($B119=AA$2,AA$6,0))</f>
        <v>0</v>
      </c>
      <c r="AB119" s="180" cm="1">
        <f t="array" aca="1" ref="AB119" ca="1">IF(AND($B119=AB$93,$B119=$B120-1),NPV(real_discount_rate,OFFSET(AB80,,,,COUNTA($C$54:$BB$54)-COUNTA($C$54:AB$54)+1)-OFFSET(AB81,,,,COUNTA($C$54:$BB$54)-COUNTA($C$54:AB$54)+1))*(1+real_discount_rate),IF($B119=AB$2,AB$6,0))</f>
        <v>67.548631149735769</v>
      </c>
      <c r="AC119" s="180" cm="1">
        <f t="array" aca="1" ref="AC119" ca="1">IF(AND($B119=AC$93,$B119=$B120-1),NPV(real_discount_rate,OFFSET(AC80,,,,COUNTA($C$54:$BB$54)-COUNTA($C$54:AC$54)+1)-OFFSET(AC81,,,,COUNTA($C$54:$BB$54)-COUNTA($C$54:AC$54)+1))*(1+real_discount_rate),IF($B119=AC$2,AC$6,0))</f>
        <v>0</v>
      </c>
      <c r="AD119" s="180" cm="1">
        <f t="array" aca="1" ref="AD119" ca="1">IF(AND($B119=AD$93,$B119=$B120-1),NPV(real_discount_rate,OFFSET(AD80,,,,COUNTA($C$54:$BB$54)-COUNTA($C$54:AD$54)+1)-OFFSET(AD81,,,,COUNTA($C$54:$BB$54)-COUNTA($C$54:AD$54)+1))*(1+real_discount_rate),IF($B119=AD$2,AD$6,0))</f>
        <v>0</v>
      </c>
      <c r="AE119" s="180" cm="1">
        <f t="array" aca="1" ref="AE119" ca="1">IF(AND($B119=AE$93,$B119=$B120-1),NPV(real_discount_rate,OFFSET(AE80,,,,COUNTA($C$54:$BB$54)-COUNTA($C$54:AE$54)+1)-OFFSET(AE81,,,,COUNTA($C$54:$BB$54)-COUNTA($C$54:AE$54)+1))*(1+real_discount_rate),IF($B119=AE$2,AE$6,0))</f>
        <v>0</v>
      </c>
      <c r="AF119" s="180" cm="1">
        <f t="array" aca="1" ref="AF119" ca="1">IF(AND($B119=AF$93,$B119=$B120-1),NPV(real_discount_rate,OFFSET(AF80,,,,COUNTA($C$54:$BB$54)-COUNTA($C$54:AF$54)+1)-OFFSET(AF81,,,,COUNTA($C$54:$BB$54)-COUNTA($C$54:AF$54)+1))*(1+real_discount_rate),IF($B119=AF$2,AF$6,0))</f>
        <v>0</v>
      </c>
      <c r="AG119" s="180" cm="1">
        <f t="array" aca="1" ref="AG119" ca="1">IF(AND($B119=AG$93,$B119=$B120-1),NPV(real_discount_rate,OFFSET(AG80,,,,COUNTA($C$54:$BB$54)-COUNTA($C$54:AG$54)+1)-OFFSET(AG81,,,,COUNTA($C$54:$BB$54)-COUNTA($C$54:AG$54)+1))*(1+real_discount_rate),IF($B119=AG$2,AG$6,0))</f>
        <v>0</v>
      </c>
      <c r="AH119" s="649" cm="1">
        <f t="array" aca="1" ref="AH119" ca="1">IF(AND($B119=AH$93,$B119=$B120-1),NPV(real_discount_rate,OFFSET(AH80,,,,COUNTA($C$54:$BB$54)-COUNTA($C$54:AH$54)+1)-OFFSET(AH81,,,,COUNTA($C$54:$BB$54)-COUNTA($C$54:AH$54)+1))*(1+real_discount_rate),IF($B119=AH$2,AH$6,0))</f>
        <v>0</v>
      </c>
      <c r="AI119" s="653"/>
      <c r="AJ119" s="653"/>
      <c r="AK119" s="653"/>
      <c r="AL119" s="653"/>
      <c r="AM119" s="653"/>
      <c r="AN119" s="653"/>
      <c r="AO119" s="653"/>
      <c r="AP119" s="653"/>
      <c r="AQ119" s="653"/>
      <c r="AR119" s="653"/>
      <c r="AS119" s="653"/>
      <c r="AT119" s="653"/>
      <c r="AU119" s="653"/>
      <c r="AV119" s="653"/>
      <c r="AW119" s="653"/>
      <c r="AX119" s="653"/>
      <c r="AY119" s="653"/>
      <c r="AZ119" s="653"/>
      <c r="BA119" s="653"/>
      <c r="BB119" s="182"/>
      <c r="BC119" s="410"/>
    </row>
    <row r="120" spans="2:55" x14ac:dyDescent="0.3">
      <c r="B120" s="28">
        <v>2047</v>
      </c>
      <c r="C120" s="179" cm="1">
        <f t="array" aca="1" ref="C120" ca="1">IF(AND($B120=C$93,$B120=$B121-1),NPV(real_discount_rate,OFFSET(C81,,,,COUNTA($C$54:$BB$54)-COUNTA($C$54:C$54)+1)-OFFSET(C82,,,,COUNTA($C$54:$BB$54)-COUNTA($C$54:C$54)+1))*(1+real_discount_rate),IF($B120=C$2,C$6,0))</f>
        <v>0</v>
      </c>
      <c r="D120" s="180" cm="1">
        <f t="array" aca="1" ref="D120" ca="1">IF(AND($B120=D$93,$B120=$B121-1),NPV(real_discount_rate,OFFSET(D81,,,,COUNTA($C$54:$BB$54)-COUNTA($C$54:D$54)+1)-OFFSET(D82,,,,COUNTA($C$54:$BB$54)-COUNTA($C$54:D$54)+1))*(1+real_discount_rate),IF($B120=D$2,D$6,0))</f>
        <v>0</v>
      </c>
      <c r="E120" s="180" cm="1">
        <f t="array" aca="1" ref="E120" ca="1">IF(AND($B120=E$93,$B120=$B121-1),NPV(real_discount_rate,OFFSET(E81,,,,COUNTA($C$54:$BB$54)-COUNTA($C$54:E$54)+1)-OFFSET(E82,,,,COUNTA($C$54:$BB$54)-COUNTA($C$54:E$54)+1))*(1+real_discount_rate),IF($B120=E$2,E$6,0))</f>
        <v>0</v>
      </c>
      <c r="F120" s="180" cm="1">
        <f t="array" aca="1" ref="F120" ca="1">IF(AND($B120=F$93,$B120=$B121-1),NPV(real_discount_rate,OFFSET(F81,,,,COUNTA($C$54:$BB$54)-COUNTA($C$54:F$54)+1)-OFFSET(F82,,,,COUNTA($C$54:$BB$54)-COUNTA($C$54:F$54)+1))*(1+real_discount_rate),IF($B120=F$2,F$6,0))</f>
        <v>0</v>
      </c>
      <c r="G120" s="180" cm="1">
        <f t="array" aca="1" ref="G120" ca="1">IF(AND($B120=G$93,$B120=$B121-1),NPV(real_discount_rate,OFFSET(G81,,,,COUNTA($C$54:$BB$54)-COUNTA($C$54:G$54)+1)-OFFSET(G82,,,,COUNTA($C$54:$BB$54)-COUNTA($C$54:G$54)+1))*(1+real_discount_rate),IF($B120=G$2,G$6,0))</f>
        <v>0</v>
      </c>
      <c r="H120" s="180" cm="1">
        <f t="array" aca="1" ref="H120" ca="1">IF(AND($B120=H$93,$B120=$B121-1),NPV(real_discount_rate,OFFSET(H81,,,,COUNTA($C$54:$BB$54)-COUNTA($C$54:H$54)+1)-OFFSET(H82,,,,COUNTA($C$54:$BB$54)-COUNTA($C$54:H$54)+1))*(1+real_discount_rate),IF($B120=H$2,H$6,0))</f>
        <v>0</v>
      </c>
      <c r="I120" s="180" cm="1">
        <f t="array" aca="1" ref="I120" ca="1">IF(AND($B120=I$93,$B120=$B121-1),NPV(real_discount_rate,OFFSET(I81,,,,COUNTA($C$54:$BB$54)-COUNTA($C$54:I$54)+1)-OFFSET(I82,,,,COUNTA($C$54:$BB$54)-COUNTA($C$54:I$54)+1))*(1+real_discount_rate),IF($B120=I$2,I$6,0))</f>
        <v>0</v>
      </c>
      <c r="J120" s="180" cm="1">
        <f t="array" aca="1" ref="J120" ca="1">IF(AND($B120=J$93,$B120=$B121-1),NPV(real_discount_rate,OFFSET(J81,,,,COUNTA($C$54:$BB$54)-COUNTA($C$54:J$54)+1)-OFFSET(J82,,,,COUNTA($C$54:$BB$54)-COUNTA($C$54:J$54)+1))*(1+real_discount_rate),IF($B120=J$2,J$6,0))</f>
        <v>0</v>
      </c>
      <c r="K120" s="180" cm="1">
        <f t="array" aca="1" ref="K120" ca="1">IF(AND($B120=K$93,$B120=$B121-1),NPV(real_discount_rate,OFFSET(K81,,,,COUNTA($C$54:$BB$54)-COUNTA($C$54:K$54)+1)-OFFSET(K82,,,,COUNTA($C$54:$BB$54)-COUNTA($C$54:K$54)+1))*(1+real_discount_rate),IF($B120=K$2,K$6,0))</f>
        <v>0</v>
      </c>
      <c r="L120" s="180" cm="1">
        <f t="array" aca="1" ref="L120" ca="1">IF(AND($B120=L$93,$B120=$B121-1),NPV(real_discount_rate,OFFSET(L81,,,,COUNTA($C$54:$BB$54)-COUNTA($C$54:L$54)+1)-OFFSET(L82,,,,COUNTA($C$54:$BB$54)-COUNTA($C$54:L$54)+1))*(1+real_discount_rate),IF($B120=L$2,L$6,0))</f>
        <v>0</v>
      </c>
      <c r="M120" s="180" cm="1">
        <f t="array" aca="1" ref="M120" ca="1">IF(AND($B120=M$93,$B120=$B121-1),NPV(real_discount_rate,OFFSET(M81,,,,COUNTA($C$54:$BB$54)-COUNTA($C$54:M$54)+1)-OFFSET(M82,,,,COUNTA($C$54:$BB$54)-COUNTA($C$54:M$54)+1))*(1+real_discount_rate),IF($B120=M$2,M$6,0))</f>
        <v>0</v>
      </c>
      <c r="N120" s="180" cm="1">
        <f t="array" aca="1" ref="N120" ca="1">IF(AND($B120=N$93,$B120=$B121-1),NPV(real_discount_rate,OFFSET(N81,,,,COUNTA($C$54:$BB$54)-COUNTA($C$54:N$54)+1)-OFFSET(N82,,,,COUNTA($C$54:$BB$54)-COUNTA($C$54:N$54)+1))*(1+real_discount_rate),IF($B120=N$2,N$6,0))</f>
        <v>0</v>
      </c>
      <c r="O120" s="180" cm="1">
        <f t="array" aca="1" ref="O120" ca="1">IF(AND($B120=O$93,$B120=$B121-1),NPV(real_discount_rate,OFFSET(O81,,,,COUNTA($C$54:$BB$54)-COUNTA($C$54:O$54)+1)-OFFSET(O82,,,,COUNTA($C$54:$BB$54)-COUNTA($C$54:O$54)+1))*(1+real_discount_rate),IF($B120=O$2,O$6,0))</f>
        <v>0</v>
      </c>
      <c r="P120" s="180" cm="1">
        <f t="array" aca="1" ref="P120" ca="1">IF(AND($B120=P$93,$B120=$B121-1),NPV(real_discount_rate,OFFSET(P81,,,,COUNTA($C$54:$BB$54)-COUNTA($C$54:P$54)+1)-OFFSET(P82,,,,COUNTA($C$54:$BB$54)-COUNTA($C$54:P$54)+1))*(1+real_discount_rate),IF($B120=P$2,P$6,0))</f>
        <v>0</v>
      </c>
      <c r="Q120" s="180" cm="1">
        <f t="array" aca="1" ref="Q120" ca="1">IF(AND($B120=Q$93,$B120=$B121-1),NPV(real_discount_rate,OFFSET(Q81,,,,COUNTA($C$54:$BB$54)-COUNTA($C$54:Q$54)+1)-OFFSET(Q82,,,,COUNTA($C$54:$BB$54)-COUNTA($C$54:Q$54)+1))*(1+real_discount_rate),IF($B120=Q$2,Q$6,0))</f>
        <v>0</v>
      </c>
      <c r="R120" s="180" cm="1">
        <f t="array" aca="1" ref="R120" ca="1">IF(AND($B120=R$93,$B120=$B121-1),NPV(real_discount_rate,OFFSET(R81,,,,COUNTA($C$54:$BB$54)-COUNTA($C$54:R$54)+1)-OFFSET(R82,,,,COUNTA($C$54:$BB$54)-COUNTA($C$54:R$54)+1))*(1+real_discount_rate),IF($B120=R$2,R$6,0))</f>
        <v>0</v>
      </c>
      <c r="S120" s="180" cm="1">
        <f t="array" aca="1" ref="S120" ca="1">IF(AND($B120=S$93,$B120=$B121-1),NPV(real_discount_rate,OFFSET(S81,,,,COUNTA($C$54:$BB$54)-COUNTA($C$54:S$54)+1)-OFFSET(S82,,,,COUNTA($C$54:$BB$54)-COUNTA($C$54:S$54)+1))*(1+real_discount_rate),IF($B120=S$2,S$6,0))</f>
        <v>0</v>
      </c>
      <c r="T120" s="180" cm="1">
        <f t="array" aca="1" ref="T120" ca="1">IF(AND($B120=T$93,$B120=$B121-1),NPV(real_discount_rate,OFFSET(T81,,,,COUNTA($C$54:$BB$54)-COUNTA($C$54:T$54)+1)-OFFSET(T82,,,,COUNTA($C$54:$BB$54)-COUNTA($C$54:T$54)+1))*(1+real_discount_rate),IF($B120=T$2,T$6,0))</f>
        <v>0</v>
      </c>
      <c r="U120" s="180" cm="1">
        <f t="array" aca="1" ref="U120" ca="1">IF(AND($B120=U$93,$B120=$B121-1),NPV(real_discount_rate,OFFSET(U81,,,,COUNTA($C$54:$BB$54)-COUNTA($C$54:U$54)+1)-OFFSET(U82,,,,COUNTA($C$54:$BB$54)-COUNTA($C$54:U$54)+1))*(1+real_discount_rate),IF($B120=U$2,U$6,0))</f>
        <v>0</v>
      </c>
      <c r="V120" s="180" cm="1">
        <f t="array" aca="1" ref="V120" ca="1">IF(AND($B120=V$93,$B120=$B121-1),NPV(real_discount_rate,OFFSET(V81,,,,COUNTA($C$54:$BB$54)-COUNTA($C$54:V$54)+1)-OFFSET(V82,,,,COUNTA($C$54:$BB$54)-COUNTA($C$54:V$54)+1))*(1+real_discount_rate),IF($B120=V$2,V$6,0))</f>
        <v>0</v>
      </c>
      <c r="W120" s="180" cm="1">
        <f t="array" aca="1" ref="W120" ca="1">IF(AND($B120=W$93,$B120=$B121-1),NPV(real_discount_rate,OFFSET(W81,,,,COUNTA($C$54:$BB$54)-COUNTA($C$54:W$54)+1)-OFFSET(W82,,,,COUNTA($C$54:$BB$54)-COUNTA($C$54:W$54)+1))*(1+real_discount_rate),IF($B120=W$2,W$6,0))</f>
        <v>0</v>
      </c>
      <c r="X120" s="180" cm="1">
        <f t="array" aca="1" ref="X120" ca="1">IF(AND($B120=X$93,$B120=$B121-1),NPV(real_discount_rate,OFFSET(X81,,,,COUNTA($C$54:$BB$54)-COUNTA($C$54:X$54)+1)-OFFSET(X82,,,,COUNTA($C$54:$BB$54)-COUNTA($C$54:X$54)+1))*(1+real_discount_rate),IF($B120=X$2,X$6,0))</f>
        <v>0</v>
      </c>
      <c r="Y120" s="180" cm="1">
        <f t="array" aca="1" ref="Y120" ca="1">IF(AND($B120=Y$93,$B120=$B121-1),NPV(real_discount_rate,OFFSET(Y81,,,,COUNTA($C$54:$BB$54)-COUNTA($C$54:Y$54)+1)-OFFSET(Y82,,,,COUNTA($C$54:$BB$54)-COUNTA($C$54:Y$54)+1))*(1+real_discount_rate),IF($B120=Y$2,Y$6,0))</f>
        <v>0</v>
      </c>
      <c r="Z120" s="180" cm="1">
        <f t="array" aca="1" ref="Z120" ca="1">IF(AND($B120=Z$93,$B120=$B121-1),NPV(real_discount_rate,OFFSET(Z81,,,,COUNTA($C$54:$BB$54)-COUNTA($C$54:Z$54)+1)-OFFSET(Z82,,,,COUNTA($C$54:$BB$54)-COUNTA($C$54:Z$54)+1))*(1+real_discount_rate),IF($B120=Z$2,Z$6,0))</f>
        <v>0</v>
      </c>
      <c r="AA120" s="180" cm="1">
        <f t="array" aca="1" ref="AA120" ca="1">IF(AND($B120=AA$93,$B120=$B121-1),NPV(real_discount_rate,OFFSET(AA81,,,,COUNTA($C$54:$BB$54)-COUNTA($C$54:AA$54)+1)-OFFSET(AA82,,,,COUNTA($C$54:$BB$54)-COUNTA($C$54:AA$54)+1))*(1+real_discount_rate),IF($B120=AA$2,AA$6,0))</f>
        <v>0</v>
      </c>
      <c r="AB120" s="180" cm="1">
        <f t="array" aca="1" ref="AB120" ca="1">IF(AND($B120=AB$93,$B120=$B121-1),NPV(real_discount_rate,OFFSET(AB81,,,,COUNTA($C$54:$BB$54)-COUNTA($C$54:AB$54)+1)-OFFSET(AB82,,,,COUNTA($C$54:$BB$54)-COUNTA($C$54:AB$54)+1))*(1+real_discount_rate),IF($B120=AB$2,AB$6,0))</f>
        <v>0</v>
      </c>
      <c r="AC120" s="180" cm="1">
        <f t="array" aca="1" ref="AC120" ca="1">IF(AND($B120=AC$93,$B120=$B121-1),NPV(real_discount_rate,OFFSET(AC81,,,,COUNTA($C$54:$BB$54)-COUNTA($C$54:AC$54)+1)-OFFSET(AC82,,,,COUNTA($C$54:$BB$54)-COUNTA($C$54:AC$54)+1))*(1+real_discount_rate),IF($B120=AC$2,AC$6,0))</f>
        <v>71.662725155541253</v>
      </c>
      <c r="AD120" s="180" cm="1">
        <f t="array" aca="1" ref="AD120" ca="1">IF(AND($B120=AD$93,$B120=$B121-1),NPV(real_discount_rate,OFFSET(AD81,,,,COUNTA($C$54:$BB$54)-COUNTA($C$54:AD$54)+1)-OFFSET(AD82,,,,COUNTA($C$54:$BB$54)-COUNTA($C$54:AD$54)+1))*(1+real_discount_rate),IF($B120=AD$2,AD$6,0))</f>
        <v>0</v>
      </c>
      <c r="AE120" s="180" cm="1">
        <f t="array" aca="1" ref="AE120" ca="1">IF(AND($B120=AE$93,$B120=$B121-1),NPV(real_discount_rate,OFFSET(AE81,,,,COUNTA($C$54:$BB$54)-COUNTA($C$54:AE$54)+1)-OFFSET(AE82,,,,COUNTA($C$54:$BB$54)-COUNTA($C$54:AE$54)+1))*(1+real_discount_rate),IF($B120=AE$2,AE$6,0))</f>
        <v>0</v>
      </c>
      <c r="AF120" s="180" cm="1">
        <f t="array" aca="1" ref="AF120" ca="1">IF(AND($B120=AF$93,$B120=$B121-1),NPV(real_discount_rate,OFFSET(AF81,,,,COUNTA($C$54:$BB$54)-COUNTA($C$54:AF$54)+1)-OFFSET(AF82,,,,COUNTA($C$54:$BB$54)-COUNTA($C$54:AF$54)+1))*(1+real_discount_rate),IF($B120=AF$2,AF$6,0))</f>
        <v>0</v>
      </c>
      <c r="AG120" s="180" cm="1">
        <f t="array" aca="1" ref="AG120" ca="1">IF(AND($B120=AG$93,$B120=$B121-1),NPV(real_discount_rate,OFFSET(AG81,,,,COUNTA($C$54:$BB$54)-COUNTA($C$54:AG$54)+1)-OFFSET(AG82,,,,COUNTA($C$54:$BB$54)-COUNTA($C$54:AG$54)+1))*(1+real_discount_rate),IF($B120=AG$2,AG$6,0))</f>
        <v>0</v>
      </c>
      <c r="AH120" s="649" cm="1">
        <f t="array" aca="1" ref="AH120" ca="1">IF(AND($B120=AH$93,$B120=$B121-1),NPV(real_discount_rate,OFFSET(AH81,,,,COUNTA($C$54:$BB$54)-COUNTA($C$54:AH$54)+1)-OFFSET(AH82,,,,COUNTA($C$54:$BB$54)-COUNTA($C$54:AH$54)+1))*(1+real_discount_rate),IF($B120=AH$2,AH$6,0))</f>
        <v>0</v>
      </c>
      <c r="AI120" s="653"/>
      <c r="AJ120" s="653"/>
      <c r="AK120" s="653"/>
      <c r="AL120" s="653"/>
      <c r="AM120" s="653"/>
      <c r="AN120" s="653"/>
      <c r="AO120" s="653"/>
      <c r="AP120" s="653"/>
      <c r="AQ120" s="653"/>
      <c r="AR120" s="653"/>
      <c r="AS120" s="653"/>
      <c r="AT120" s="653"/>
      <c r="AU120" s="653"/>
      <c r="AV120" s="653"/>
      <c r="AW120" s="653"/>
      <c r="AX120" s="653"/>
      <c r="AY120" s="653"/>
      <c r="AZ120" s="653"/>
      <c r="BA120" s="653"/>
      <c r="BB120" s="182"/>
      <c r="BC120" s="410"/>
    </row>
    <row r="121" spans="2:55" x14ac:dyDescent="0.3">
      <c r="B121" s="28">
        <v>2048</v>
      </c>
      <c r="C121" s="179" cm="1">
        <f t="array" aca="1" ref="C121" ca="1">IF(AND($B121=C$93,$B121=$B122-1),NPV(real_discount_rate,OFFSET(C82,,,,COUNTA($C$54:$BB$54)-COUNTA($C$54:C$54)+1)-OFFSET(C83,,,,COUNTA($C$54:$BB$54)-COUNTA($C$54:C$54)+1))*(1+real_discount_rate),IF($B121=C$2,C$6,0))</f>
        <v>0</v>
      </c>
      <c r="D121" s="180" cm="1">
        <f t="array" aca="1" ref="D121" ca="1">IF(AND($B121=D$93,$B121=$B122-1),NPV(real_discount_rate,OFFSET(D82,,,,COUNTA($C$54:$BB$54)-COUNTA($C$54:D$54)+1)-OFFSET(D83,,,,COUNTA($C$54:$BB$54)-COUNTA($C$54:D$54)+1))*(1+real_discount_rate),IF($B121=D$2,D$6,0))</f>
        <v>0</v>
      </c>
      <c r="E121" s="180" cm="1">
        <f t="array" aca="1" ref="E121" ca="1">IF(AND($B121=E$93,$B121=$B122-1),NPV(real_discount_rate,OFFSET(E82,,,,COUNTA($C$54:$BB$54)-COUNTA($C$54:E$54)+1)-OFFSET(E83,,,,COUNTA($C$54:$BB$54)-COUNTA($C$54:E$54)+1))*(1+real_discount_rate),IF($B121=E$2,E$6,0))</f>
        <v>0</v>
      </c>
      <c r="F121" s="180" cm="1">
        <f t="array" aca="1" ref="F121" ca="1">IF(AND($B121=F$93,$B121=$B122-1),NPV(real_discount_rate,OFFSET(F82,,,,COUNTA($C$54:$BB$54)-COUNTA($C$54:F$54)+1)-OFFSET(F83,,,,COUNTA($C$54:$BB$54)-COUNTA($C$54:F$54)+1))*(1+real_discount_rate),IF($B121=F$2,F$6,0))</f>
        <v>0</v>
      </c>
      <c r="G121" s="180" cm="1">
        <f t="array" aca="1" ref="G121" ca="1">IF(AND($B121=G$93,$B121=$B122-1),NPV(real_discount_rate,OFFSET(G82,,,,COUNTA($C$54:$BB$54)-COUNTA($C$54:G$54)+1)-OFFSET(G83,,,,COUNTA($C$54:$BB$54)-COUNTA($C$54:G$54)+1))*(1+real_discount_rate),IF($B121=G$2,G$6,0))</f>
        <v>0</v>
      </c>
      <c r="H121" s="180" cm="1">
        <f t="array" aca="1" ref="H121" ca="1">IF(AND($B121=H$93,$B121=$B122-1),NPV(real_discount_rate,OFFSET(H82,,,,COUNTA($C$54:$BB$54)-COUNTA($C$54:H$54)+1)-OFFSET(H83,,,,COUNTA($C$54:$BB$54)-COUNTA($C$54:H$54)+1))*(1+real_discount_rate),IF($B121=H$2,H$6,0))</f>
        <v>0</v>
      </c>
      <c r="I121" s="180" cm="1">
        <f t="array" aca="1" ref="I121" ca="1">IF(AND($B121=I$93,$B121=$B122-1),NPV(real_discount_rate,OFFSET(I82,,,,COUNTA($C$54:$BB$54)-COUNTA($C$54:I$54)+1)-OFFSET(I83,,,,COUNTA($C$54:$BB$54)-COUNTA($C$54:I$54)+1))*(1+real_discount_rate),IF($B121=I$2,I$6,0))</f>
        <v>0</v>
      </c>
      <c r="J121" s="180" cm="1">
        <f t="array" aca="1" ref="J121" ca="1">IF(AND($B121=J$93,$B121=$B122-1),NPV(real_discount_rate,OFFSET(J82,,,,COUNTA($C$54:$BB$54)-COUNTA($C$54:J$54)+1)-OFFSET(J83,,,,COUNTA($C$54:$BB$54)-COUNTA($C$54:J$54)+1))*(1+real_discount_rate),IF($B121=J$2,J$6,0))</f>
        <v>0</v>
      </c>
      <c r="K121" s="180" cm="1">
        <f t="array" aca="1" ref="K121" ca="1">IF(AND($B121=K$93,$B121=$B122-1),NPV(real_discount_rate,OFFSET(K82,,,,COUNTA($C$54:$BB$54)-COUNTA($C$54:K$54)+1)-OFFSET(K83,,,,COUNTA($C$54:$BB$54)-COUNTA($C$54:K$54)+1))*(1+real_discount_rate),IF($B121=K$2,K$6,0))</f>
        <v>0</v>
      </c>
      <c r="L121" s="180" cm="1">
        <f t="array" aca="1" ref="L121" ca="1">IF(AND($B121=L$93,$B121=$B122-1),NPV(real_discount_rate,OFFSET(L82,,,,COUNTA($C$54:$BB$54)-COUNTA($C$54:L$54)+1)-OFFSET(L83,,,,COUNTA($C$54:$BB$54)-COUNTA($C$54:L$54)+1))*(1+real_discount_rate),IF($B121=L$2,L$6,0))</f>
        <v>0</v>
      </c>
      <c r="M121" s="180" cm="1">
        <f t="array" aca="1" ref="M121" ca="1">IF(AND($B121=M$93,$B121=$B122-1),NPV(real_discount_rate,OFFSET(M82,,,,COUNTA($C$54:$BB$54)-COUNTA($C$54:M$54)+1)-OFFSET(M83,,,,COUNTA($C$54:$BB$54)-COUNTA($C$54:M$54)+1))*(1+real_discount_rate),IF($B121=M$2,M$6,0))</f>
        <v>0</v>
      </c>
      <c r="N121" s="180" cm="1">
        <f t="array" aca="1" ref="N121" ca="1">IF(AND($B121=N$93,$B121=$B122-1),NPV(real_discount_rate,OFFSET(N82,,,,COUNTA($C$54:$BB$54)-COUNTA($C$54:N$54)+1)-OFFSET(N83,,,,COUNTA($C$54:$BB$54)-COUNTA($C$54:N$54)+1))*(1+real_discount_rate),IF($B121=N$2,N$6,0))</f>
        <v>0</v>
      </c>
      <c r="O121" s="180" cm="1">
        <f t="array" aca="1" ref="O121" ca="1">IF(AND($B121=O$93,$B121=$B122-1),NPV(real_discount_rate,OFFSET(O82,,,,COUNTA($C$54:$BB$54)-COUNTA($C$54:O$54)+1)-OFFSET(O83,,,,COUNTA($C$54:$BB$54)-COUNTA($C$54:O$54)+1))*(1+real_discount_rate),IF($B121=O$2,O$6,0))</f>
        <v>0</v>
      </c>
      <c r="P121" s="180" cm="1">
        <f t="array" aca="1" ref="P121" ca="1">IF(AND($B121=P$93,$B121=$B122-1),NPV(real_discount_rate,OFFSET(P82,,,,COUNTA($C$54:$BB$54)-COUNTA($C$54:P$54)+1)-OFFSET(P83,,,,COUNTA($C$54:$BB$54)-COUNTA($C$54:P$54)+1))*(1+real_discount_rate),IF($B121=P$2,P$6,0))</f>
        <v>0</v>
      </c>
      <c r="Q121" s="180" cm="1">
        <f t="array" aca="1" ref="Q121" ca="1">IF(AND($B121=Q$93,$B121=$B122-1),NPV(real_discount_rate,OFFSET(Q82,,,,COUNTA($C$54:$BB$54)-COUNTA($C$54:Q$54)+1)-OFFSET(Q83,,,,COUNTA($C$54:$BB$54)-COUNTA($C$54:Q$54)+1))*(1+real_discount_rate),IF($B121=Q$2,Q$6,0))</f>
        <v>0</v>
      </c>
      <c r="R121" s="180" cm="1">
        <f t="array" aca="1" ref="R121" ca="1">IF(AND($B121=R$93,$B121=$B122-1),NPV(real_discount_rate,OFFSET(R82,,,,COUNTA($C$54:$BB$54)-COUNTA($C$54:R$54)+1)-OFFSET(R83,,,,COUNTA($C$54:$BB$54)-COUNTA($C$54:R$54)+1))*(1+real_discount_rate),IF($B121=R$2,R$6,0))</f>
        <v>0</v>
      </c>
      <c r="S121" s="180" cm="1">
        <f t="array" aca="1" ref="S121" ca="1">IF(AND($B121=S$93,$B121=$B122-1),NPV(real_discount_rate,OFFSET(S82,,,,COUNTA($C$54:$BB$54)-COUNTA($C$54:S$54)+1)-OFFSET(S83,,,,COUNTA($C$54:$BB$54)-COUNTA($C$54:S$54)+1))*(1+real_discount_rate),IF($B121=S$2,S$6,0))</f>
        <v>0</v>
      </c>
      <c r="T121" s="180" cm="1">
        <f t="array" aca="1" ref="T121" ca="1">IF(AND($B121=T$93,$B121=$B122-1),NPV(real_discount_rate,OFFSET(T82,,,,COUNTA($C$54:$BB$54)-COUNTA($C$54:T$54)+1)-OFFSET(T83,,,,COUNTA($C$54:$BB$54)-COUNTA($C$54:T$54)+1))*(1+real_discount_rate),IF($B121=T$2,T$6,0))</f>
        <v>0</v>
      </c>
      <c r="U121" s="180" cm="1">
        <f t="array" aca="1" ref="U121" ca="1">IF(AND($B121=U$93,$B121=$B122-1),NPV(real_discount_rate,OFFSET(U82,,,,COUNTA($C$54:$BB$54)-COUNTA($C$54:U$54)+1)-OFFSET(U83,,,,COUNTA($C$54:$BB$54)-COUNTA($C$54:U$54)+1))*(1+real_discount_rate),IF($B121=U$2,U$6,0))</f>
        <v>0</v>
      </c>
      <c r="V121" s="180" cm="1">
        <f t="array" aca="1" ref="V121" ca="1">IF(AND($B121=V$93,$B121=$B122-1),NPV(real_discount_rate,OFFSET(V82,,,,COUNTA($C$54:$BB$54)-COUNTA($C$54:V$54)+1)-OFFSET(V83,,,,COUNTA($C$54:$BB$54)-COUNTA($C$54:V$54)+1))*(1+real_discount_rate),IF($B121=V$2,V$6,0))</f>
        <v>0</v>
      </c>
      <c r="W121" s="180" cm="1">
        <f t="array" aca="1" ref="W121" ca="1">IF(AND($B121=W$93,$B121=$B122-1),NPV(real_discount_rate,OFFSET(W82,,,,COUNTA($C$54:$BB$54)-COUNTA($C$54:W$54)+1)-OFFSET(W83,,,,COUNTA($C$54:$BB$54)-COUNTA($C$54:W$54)+1))*(1+real_discount_rate),IF($B121=W$2,W$6,0))</f>
        <v>0</v>
      </c>
      <c r="X121" s="180" cm="1">
        <f t="array" aca="1" ref="X121" ca="1">IF(AND($B121=X$93,$B121=$B122-1),NPV(real_discount_rate,OFFSET(X82,,,,COUNTA($C$54:$BB$54)-COUNTA($C$54:X$54)+1)-OFFSET(X83,,,,COUNTA($C$54:$BB$54)-COUNTA($C$54:X$54)+1))*(1+real_discount_rate),IF($B121=X$2,X$6,0))</f>
        <v>0</v>
      </c>
      <c r="Y121" s="180" cm="1">
        <f t="array" aca="1" ref="Y121" ca="1">IF(AND($B121=Y$93,$B121=$B122-1),NPV(real_discount_rate,OFFSET(Y82,,,,COUNTA($C$54:$BB$54)-COUNTA($C$54:Y$54)+1)-OFFSET(Y83,,,,COUNTA($C$54:$BB$54)-COUNTA($C$54:Y$54)+1))*(1+real_discount_rate),IF($B121=Y$2,Y$6,0))</f>
        <v>0</v>
      </c>
      <c r="Z121" s="180" cm="1">
        <f t="array" aca="1" ref="Z121" ca="1">IF(AND($B121=Z$93,$B121=$B122-1),NPV(real_discount_rate,OFFSET(Z82,,,,COUNTA($C$54:$BB$54)-COUNTA($C$54:Z$54)+1)-OFFSET(Z83,,,,COUNTA($C$54:$BB$54)-COUNTA($C$54:Z$54)+1))*(1+real_discount_rate),IF($B121=Z$2,Z$6,0))</f>
        <v>0</v>
      </c>
      <c r="AA121" s="180" cm="1">
        <f t="array" aca="1" ref="AA121" ca="1">IF(AND($B121=AA$93,$B121=$B122-1),NPV(real_discount_rate,OFFSET(AA82,,,,COUNTA($C$54:$BB$54)-COUNTA($C$54:AA$54)+1)-OFFSET(AA83,,,,COUNTA($C$54:$BB$54)-COUNTA($C$54:AA$54)+1))*(1+real_discount_rate),IF($B121=AA$2,AA$6,0))</f>
        <v>0</v>
      </c>
      <c r="AB121" s="180" cm="1">
        <f t="array" aca="1" ref="AB121" ca="1">IF(AND($B121=AB$93,$B121=$B122-1),NPV(real_discount_rate,OFFSET(AB82,,,,COUNTA($C$54:$BB$54)-COUNTA($C$54:AB$54)+1)-OFFSET(AB83,,,,COUNTA($C$54:$BB$54)-COUNTA($C$54:AB$54)+1))*(1+real_discount_rate),IF($B121=AB$2,AB$6,0))</f>
        <v>0</v>
      </c>
      <c r="AC121" s="180" cm="1">
        <f t="array" aca="1" ref="AC121" ca="1">IF(AND($B121=AC$93,$B121=$B122-1),NPV(real_discount_rate,OFFSET(AC82,,,,COUNTA($C$54:$BB$54)-COUNTA($C$54:AC$54)+1)-OFFSET(AC83,,,,COUNTA($C$54:$BB$54)-COUNTA($C$54:AC$54)+1))*(1+real_discount_rate),IF($B121=AC$2,AC$6,0))</f>
        <v>0</v>
      </c>
      <c r="AD121" s="180" cm="1">
        <f t="array" aca="1" ref="AD121" ca="1">IF(AND($B121=AD$93,$B121=$B122-1),NPV(real_discount_rate,OFFSET(AD82,,,,COUNTA($C$54:$BB$54)-COUNTA($C$54:AD$54)+1)-OFFSET(AD83,,,,COUNTA($C$54:$BB$54)-COUNTA($C$54:AD$54)+1))*(1+real_discount_rate),IF($B121=AD$2,AD$6,0))</f>
        <v>67.953588016535349</v>
      </c>
      <c r="AE121" s="180" cm="1">
        <f t="array" aca="1" ref="AE121" ca="1">IF(AND($B121=AE$93,$B121=$B122-1),NPV(real_discount_rate,OFFSET(AE82,,,,COUNTA($C$54:$BB$54)-COUNTA($C$54:AE$54)+1)-OFFSET(AE83,,,,COUNTA($C$54:$BB$54)-COUNTA($C$54:AE$54)+1))*(1+real_discount_rate),IF($B121=AE$2,AE$6,0))</f>
        <v>0</v>
      </c>
      <c r="AF121" s="180" cm="1">
        <f t="array" aca="1" ref="AF121" ca="1">IF(AND($B121=AF$93,$B121=$B122-1),NPV(real_discount_rate,OFFSET(AF82,,,,COUNTA($C$54:$BB$54)-COUNTA($C$54:AF$54)+1)-OFFSET(AF83,,,,COUNTA($C$54:$BB$54)-COUNTA($C$54:AF$54)+1))*(1+real_discount_rate),IF($B121=AF$2,AF$6,0))</f>
        <v>0</v>
      </c>
      <c r="AG121" s="180" cm="1">
        <f t="array" aca="1" ref="AG121" ca="1">IF(AND($B121=AG$93,$B121=$B122-1),NPV(real_discount_rate,OFFSET(AG82,,,,COUNTA($C$54:$BB$54)-COUNTA($C$54:AG$54)+1)-OFFSET(AG83,,,,COUNTA($C$54:$BB$54)-COUNTA($C$54:AG$54)+1))*(1+real_discount_rate),IF($B121=AG$2,AG$6,0))</f>
        <v>0</v>
      </c>
      <c r="AH121" s="649" cm="1">
        <f t="array" aca="1" ref="AH121" ca="1">IF(AND($B121=AH$93,$B121=$B122-1),NPV(real_discount_rate,OFFSET(AH82,,,,COUNTA($C$54:$BB$54)-COUNTA($C$54:AH$54)+1)-OFFSET(AH83,,,,COUNTA($C$54:$BB$54)-COUNTA($C$54:AH$54)+1))*(1+real_discount_rate),IF($B121=AH$2,AH$6,0))</f>
        <v>0</v>
      </c>
      <c r="AI121" s="653"/>
      <c r="AJ121" s="653"/>
      <c r="AK121" s="653"/>
      <c r="AL121" s="653"/>
      <c r="AM121" s="653"/>
      <c r="AN121" s="653"/>
      <c r="AO121" s="653"/>
      <c r="AP121" s="653"/>
      <c r="AQ121" s="653"/>
      <c r="AR121" s="653"/>
      <c r="AS121" s="653"/>
      <c r="AT121" s="653"/>
      <c r="AU121" s="653"/>
      <c r="AV121" s="653"/>
      <c r="AW121" s="653"/>
      <c r="AX121" s="653"/>
      <c r="AY121" s="653"/>
      <c r="AZ121" s="653"/>
      <c r="BA121" s="653"/>
      <c r="BB121" s="182"/>
      <c r="BC121" s="410"/>
    </row>
    <row r="122" spans="2:55" x14ac:dyDescent="0.3">
      <c r="B122" s="28">
        <v>2049</v>
      </c>
      <c r="C122" s="179" cm="1">
        <f t="array" aca="1" ref="C122" ca="1">IF(AND($B122=C$93,$B122=$B123-1),NPV(real_discount_rate,OFFSET(C83,,,,COUNTA($C$54:$BB$54)-COUNTA($C$54:C$54)+1)-OFFSET(C84,,,,COUNTA($C$54:$BB$54)-COUNTA($C$54:C$54)+1))*(1+real_discount_rate),IF($B122=C$2,C$6,0))</f>
        <v>0</v>
      </c>
      <c r="D122" s="180" cm="1">
        <f t="array" aca="1" ref="D122" ca="1">IF(AND($B122=D$93,$B122=$B123-1),NPV(real_discount_rate,OFFSET(D83,,,,COUNTA($C$54:$BB$54)-COUNTA($C$54:D$54)+1)-OFFSET(D84,,,,COUNTA($C$54:$BB$54)-COUNTA($C$54:D$54)+1))*(1+real_discount_rate),IF($B122=D$2,D$6,0))</f>
        <v>0</v>
      </c>
      <c r="E122" s="180" cm="1">
        <f t="array" aca="1" ref="E122" ca="1">IF(AND($B122=E$93,$B122=$B123-1),NPV(real_discount_rate,OFFSET(E83,,,,COUNTA($C$54:$BB$54)-COUNTA($C$54:E$54)+1)-OFFSET(E84,,,,COUNTA($C$54:$BB$54)-COUNTA($C$54:E$54)+1))*(1+real_discount_rate),IF($B122=E$2,E$6,0))</f>
        <v>0</v>
      </c>
      <c r="F122" s="180" cm="1">
        <f t="array" aca="1" ref="F122" ca="1">IF(AND($B122=F$93,$B122=$B123-1),NPV(real_discount_rate,OFFSET(F83,,,,COUNTA($C$54:$BB$54)-COUNTA($C$54:F$54)+1)-OFFSET(F84,,,,COUNTA($C$54:$BB$54)-COUNTA($C$54:F$54)+1))*(1+real_discount_rate),IF($B122=F$2,F$6,0))</f>
        <v>0</v>
      </c>
      <c r="G122" s="180" cm="1">
        <f t="array" aca="1" ref="G122" ca="1">IF(AND($B122=G$93,$B122=$B123-1),NPV(real_discount_rate,OFFSET(G83,,,,COUNTA($C$54:$BB$54)-COUNTA($C$54:G$54)+1)-OFFSET(G84,,,,COUNTA($C$54:$BB$54)-COUNTA($C$54:G$54)+1))*(1+real_discount_rate),IF($B122=G$2,G$6,0))</f>
        <v>0</v>
      </c>
      <c r="H122" s="180" cm="1">
        <f t="array" aca="1" ref="H122" ca="1">IF(AND($B122=H$93,$B122=$B123-1),NPV(real_discount_rate,OFFSET(H83,,,,COUNTA($C$54:$BB$54)-COUNTA($C$54:H$54)+1)-OFFSET(H84,,,,COUNTA($C$54:$BB$54)-COUNTA($C$54:H$54)+1))*(1+real_discount_rate),IF($B122=H$2,H$6,0))</f>
        <v>0</v>
      </c>
      <c r="I122" s="180" cm="1">
        <f t="array" aca="1" ref="I122" ca="1">IF(AND($B122=I$93,$B122=$B123-1),NPV(real_discount_rate,OFFSET(I83,,,,COUNTA($C$54:$BB$54)-COUNTA($C$54:I$54)+1)-OFFSET(I84,,,,COUNTA($C$54:$BB$54)-COUNTA($C$54:I$54)+1))*(1+real_discount_rate),IF($B122=I$2,I$6,0))</f>
        <v>0</v>
      </c>
      <c r="J122" s="180" cm="1">
        <f t="array" aca="1" ref="J122" ca="1">IF(AND($B122=J$93,$B122=$B123-1),NPV(real_discount_rate,OFFSET(J83,,,,COUNTA($C$54:$BB$54)-COUNTA($C$54:J$54)+1)-OFFSET(J84,,,,COUNTA($C$54:$BB$54)-COUNTA($C$54:J$54)+1))*(1+real_discount_rate),IF($B122=J$2,J$6,0))</f>
        <v>0</v>
      </c>
      <c r="K122" s="180" cm="1">
        <f t="array" aca="1" ref="K122" ca="1">IF(AND($B122=K$93,$B122=$B123-1),NPV(real_discount_rate,OFFSET(K83,,,,COUNTA($C$54:$BB$54)-COUNTA($C$54:K$54)+1)-OFFSET(K84,,,,COUNTA($C$54:$BB$54)-COUNTA($C$54:K$54)+1))*(1+real_discount_rate),IF($B122=K$2,K$6,0))</f>
        <v>0</v>
      </c>
      <c r="L122" s="180" cm="1">
        <f t="array" aca="1" ref="L122" ca="1">IF(AND($B122=L$93,$B122=$B123-1),NPV(real_discount_rate,OFFSET(L83,,,,COUNTA($C$54:$BB$54)-COUNTA($C$54:L$54)+1)-OFFSET(L84,,,,COUNTA($C$54:$BB$54)-COUNTA($C$54:L$54)+1))*(1+real_discount_rate),IF($B122=L$2,L$6,0))</f>
        <v>0</v>
      </c>
      <c r="M122" s="180" cm="1">
        <f t="array" aca="1" ref="M122" ca="1">IF(AND($B122=M$93,$B122=$B123-1),NPV(real_discount_rate,OFFSET(M83,,,,COUNTA($C$54:$BB$54)-COUNTA($C$54:M$54)+1)-OFFSET(M84,,,,COUNTA($C$54:$BB$54)-COUNTA($C$54:M$54)+1))*(1+real_discount_rate),IF($B122=M$2,M$6,0))</f>
        <v>0</v>
      </c>
      <c r="N122" s="180" cm="1">
        <f t="array" aca="1" ref="N122" ca="1">IF(AND($B122=N$93,$B122=$B123-1),NPV(real_discount_rate,OFFSET(N83,,,,COUNTA($C$54:$BB$54)-COUNTA($C$54:N$54)+1)-OFFSET(N84,,,,COUNTA($C$54:$BB$54)-COUNTA($C$54:N$54)+1))*(1+real_discount_rate),IF($B122=N$2,N$6,0))</f>
        <v>0</v>
      </c>
      <c r="O122" s="180" cm="1">
        <f t="array" aca="1" ref="O122" ca="1">IF(AND($B122=O$93,$B122=$B123-1),NPV(real_discount_rate,OFFSET(O83,,,,COUNTA($C$54:$BB$54)-COUNTA($C$54:O$54)+1)-OFFSET(O84,,,,COUNTA($C$54:$BB$54)-COUNTA($C$54:O$54)+1))*(1+real_discount_rate),IF($B122=O$2,O$6,0))</f>
        <v>0</v>
      </c>
      <c r="P122" s="180" cm="1">
        <f t="array" aca="1" ref="P122" ca="1">IF(AND($B122=P$93,$B122=$B123-1),NPV(real_discount_rate,OFFSET(P83,,,,COUNTA($C$54:$BB$54)-COUNTA($C$54:P$54)+1)-OFFSET(P84,,,,COUNTA($C$54:$BB$54)-COUNTA($C$54:P$54)+1))*(1+real_discount_rate),IF($B122=P$2,P$6,0))</f>
        <v>0</v>
      </c>
      <c r="Q122" s="180" cm="1">
        <f t="array" aca="1" ref="Q122" ca="1">IF(AND($B122=Q$93,$B122=$B123-1),NPV(real_discount_rate,OFFSET(Q83,,,,COUNTA($C$54:$BB$54)-COUNTA($C$54:Q$54)+1)-OFFSET(Q84,,,,COUNTA($C$54:$BB$54)-COUNTA($C$54:Q$54)+1))*(1+real_discount_rate),IF($B122=Q$2,Q$6,0))</f>
        <v>0</v>
      </c>
      <c r="R122" s="180" cm="1">
        <f t="array" aca="1" ref="R122" ca="1">IF(AND($B122=R$93,$B122=$B123-1),NPV(real_discount_rate,OFFSET(R83,,,,COUNTA($C$54:$BB$54)-COUNTA($C$54:R$54)+1)-OFFSET(R84,,,,COUNTA($C$54:$BB$54)-COUNTA($C$54:R$54)+1))*(1+real_discount_rate),IF($B122=R$2,R$6,0))</f>
        <v>0</v>
      </c>
      <c r="S122" s="180" cm="1">
        <f t="array" aca="1" ref="S122" ca="1">IF(AND($B122=S$93,$B122=$B123-1),NPV(real_discount_rate,OFFSET(S83,,,,COUNTA($C$54:$BB$54)-COUNTA($C$54:S$54)+1)-OFFSET(S84,,,,COUNTA($C$54:$BB$54)-COUNTA($C$54:S$54)+1))*(1+real_discount_rate),IF($B122=S$2,S$6,0))</f>
        <v>0</v>
      </c>
      <c r="T122" s="180" cm="1">
        <f t="array" aca="1" ref="T122" ca="1">IF(AND($B122=T$93,$B122=$B123-1),NPV(real_discount_rate,OFFSET(T83,,,,COUNTA($C$54:$BB$54)-COUNTA($C$54:T$54)+1)-OFFSET(T84,,,,COUNTA($C$54:$BB$54)-COUNTA($C$54:T$54)+1))*(1+real_discount_rate),IF($B122=T$2,T$6,0))</f>
        <v>0</v>
      </c>
      <c r="U122" s="180" cm="1">
        <f t="array" aca="1" ref="U122" ca="1">IF(AND($B122=U$93,$B122=$B123-1),NPV(real_discount_rate,OFFSET(U83,,,,COUNTA($C$54:$BB$54)-COUNTA($C$54:U$54)+1)-OFFSET(U84,,,,COUNTA($C$54:$BB$54)-COUNTA($C$54:U$54)+1))*(1+real_discount_rate),IF($B122=U$2,U$6,0))</f>
        <v>0</v>
      </c>
      <c r="V122" s="180" cm="1">
        <f t="array" aca="1" ref="V122" ca="1">IF(AND($B122=V$93,$B122=$B123-1),NPV(real_discount_rate,OFFSET(V83,,,,COUNTA($C$54:$BB$54)-COUNTA($C$54:V$54)+1)-OFFSET(V84,,,,COUNTA($C$54:$BB$54)-COUNTA($C$54:V$54)+1))*(1+real_discount_rate),IF($B122=V$2,V$6,0))</f>
        <v>0</v>
      </c>
      <c r="W122" s="180" cm="1">
        <f t="array" aca="1" ref="W122" ca="1">IF(AND($B122=W$93,$B122=$B123-1),NPV(real_discount_rate,OFFSET(W83,,,,COUNTA($C$54:$BB$54)-COUNTA($C$54:W$54)+1)-OFFSET(W84,,,,COUNTA($C$54:$BB$54)-COUNTA($C$54:W$54)+1))*(1+real_discount_rate),IF($B122=W$2,W$6,0))</f>
        <v>0</v>
      </c>
      <c r="X122" s="180" cm="1">
        <f t="array" aca="1" ref="X122" ca="1">IF(AND($B122=X$93,$B122=$B123-1),NPV(real_discount_rate,OFFSET(X83,,,,COUNTA($C$54:$BB$54)-COUNTA($C$54:X$54)+1)-OFFSET(X84,,,,COUNTA($C$54:$BB$54)-COUNTA($C$54:X$54)+1))*(1+real_discount_rate),IF($B122=X$2,X$6,0))</f>
        <v>0</v>
      </c>
      <c r="Y122" s="180" cm="1">
        <f t="array" aca="1" ref="Y122" ca="1">IF(AND($B122=Y$93,$B122=$B123-1),NPV(real_discount_rate,OFFSET(Y83,,,,COUNTA($C$54:$BB$54)-COUNTA($C$54:Y$54)+1)-OFFSET(Y84,,,,COUNTA($C$54:$BB$54)-COUNTA($C$54:Y$54)+1))*(1+real_discount_rate),IF($B122=Y$2,Y$6,0))</f>
        <v>0</v>
      </c>
      <c r="Z122" s="180" cm="1">
        <f t="array" aca="1" ref="Z122" ca="1">IF(AND($B122=Z$93,$B122=$B123-1),NPV(real_discount_rate,OFFSET(Z83,,,,COUNTA($C$54:$BB$54)-COUNTA($C$54:Z$54)+1)-OFFSET(Z84,,,,COUNTA($C$54:$BB$54)-COUNTA($C$54:Z$54)+1))*(1+real_discount_rate),IF($B122=Z$2,Z$6,0))</f>
        <v>0</v>
      </c>
      <c r="AA122" s="180" cm="1">
        <f t="array" aca="1" ref="AA122" ca="1">IF(AND($B122=AA$93,$B122=$B123-1),NPV(real_discount_rate,OFFSET(AA83,,,,COUNTA($C$54:$BB$54)-COUNTA($C$54:AA$54)+1)-OFFSET(AA84,,,,COUNTA($C$54:$BB$54)-COUNTA($C$54:AA$54)+1))*(1+real_discount_rate),IF($B122=AA$2,AA$6,0))</f>
        <v>0</v>
      </c>
      <c r="AB122" s="180" cm="1">
        <f t="array" aca="1" ref="AB122" ca="1">IF(AND($B122=AB$93,$B122=$B123-1),NPV(real_discount_rate,OFFSET(AB83,,,,COUNTA($C$54:$BB$54)-COUNTA($C$54:AB$54)+1)-OFFSET(AB84,,,,COUNTA($C$54:$BB$54)-COUNTA($C$54:AB$54)+1))*(1+real_discount_rate),IF($B122=AB$2,AB$6,0))</f>
        <v>0</v>
      </c>
      <c r="AC122" s="180" cm="1">
        <f t="array" aca="1" ref="AC122" ca="1">IF(AND($B122=AC$93,$B122=$B123-1),NPV(real_discount_rate,OFFSET(AC83,,,,COUNTA($C$54:$BB$54)-COUNTA($C$54:AC$54)+1)-OFFSET(AC84,,,,COUNTA($C$54:$BB$54)-COUNTA($C$54:AC$54)+1))*(1+real_discount_rate),IF($B122=AC$2,AC$6,0))</f>
        <v>0</v>
      </c>
      <c r="AD122" s="180" cm="1">
        <f t="array" aca="1" ref="AD122" ca="1">IF(AND($B122=AD$93,$B122=$B123-1),NPV(real_discount_rate,OFFSET(AD83,,,,COUNTA($C$54:$BB$54)-COUNTA($C$54:AD$54)+1)-OFFSET(AD84,,,,COUNTA($C$54:$BB$54)-COUNTA($C$54:AD$54)+1))*(1+real_discount_rate),IF($B122=AD$2,AD$6,0))</f>
        <v>0</v>
      </c>
      <c r="AE122" s="180" cm="1">
        <f t="array" aca="1" ref="AE122" ca="1">IF(AND($B122=AE$93,$B122=$B123-1),NPV(real_discount_rate,OFFSET(AE83,,,,COUNTA($C$54:$BB$54)-COUNTA($C$54:AE$54)+1)-OFFSET(AE84,,,,COUNTA($C$54:$BB$54)-COUNTA($C$54:AE$54)+1))*(1+real_discount_rate),IF($B122=AE$2,AE$6,0))</f>
        <v>69.950030915434638</v>
      </c>
      <c r="AF122" s="180" cm="1">
        <f t="array" aca="1" ref="AF122" ca="1">IF(AND($B122=AF$93,$B122=$B123-1),NPV(real_discount_rate,OFFSET(AF83,,,,COUNTA($C$54:$BB$54)-COUNTA($C$54:AF$54)+1)-OFFSET(AF84,,,,COUNTA($C$54:$BB$54)-COUNTA($C$54:AF$54)+1))*(1+real_discount_rate),IF($B122=AF$2,AF$6,0))</f>
        <v>0</v>
      </c>
      <c r="AG122" s="180" cm="1">
        <f t="array" aca="1" ref="AG122" ca="1">IF(AND($B122=AG$93,$B122=$B123-1),NPV(real_discount_rate,OFFSET(AG83,,,,COUNTA($C$54:$BB$54)-COUNTA($C$54:AG$54)+1)-OFFSET(AG84,,,,COUNTA($C$54:$BB$54)-COUNTA($C$54:AG$54)+1))*(1+real_discount_rate),IF($B122=AG$2,AG$6,0))</f>
        <v>0</v>
      </c>
      <c r="AH122" s="649" cm="1">
        <f t="array" aca="1" ref="AH122" ca="1">IF(AND($B122=AH$93,$B122=$B123-1),NPV(real_discount_rate,OFFSET(AH83,,,,COUNTA($C$54:$BB$54)-COUNTA($C$54:AH$54)+1)-OFFSET(AH84,,,,COUNTA($C$54:$BB$54)-COUNTA($C$54:AH$54)+1))*(1+real_discount_rate),IF($B122=AH$2,AH$6,0))</f>
        <v>0</v>
      </c>
      <c r="AI122" s="653"/>
      <c r="AJ122" s="653"/>
      <c r="AK122" s="653"/>
      <c r="AL122" s="653"/>
      <c r="AM122" s="653"/>
      <c r="AN122" s="653"/>
      <c r="AO122" s="653"/>
      <c r="AP122" s="653"/>
      <c r="AQ122" s="653"/>
      <c r="AR122" s="653"/>
      <c r="AS122" s="653"/>
      <c r="AT122" s="653"/>
      <c r="AU122" s="653"/>
      <c r="AV122" s="653"/>
      <c r="AW122" s="653"/>
      <c r="AX122" s="653"/>
      <c r="AY122" s="653"/>
      <c r="AZ122" s="653"/>
      <c r="BA122" s="653"/>
      <c r="BB122" s="182"/>
      <c r="BC122" s="410"/>
    </row>
    <row r="123" spans="2:55" x14ac:dyDescent="0.3">
      <c r="B123" s="28">
        <v>2050</v>
      </c>
      <c r="C123" s="179" cm="1">
        <f t="array" aca="1" ref="C123" ca="1">IF(AND($B123=C$93,$B123=$B124-1),NPV(real_discount_rate,OFFSET(C84,,,,COUNTA($C$54:$BB$54)-COUNTA($C$54:C$54)+1)-OFFSET(C85,,,,COUNTA($C$54:$BB$54)-COUNTA($C$54:C$54)+1))*(1+real_discount_rate),IF($B123=C$2,C$6,0))</f>
        <v>0</v>
      </c>
      <c r="D123" s="180" cm="1">
        <f t="array" aca="1" ref="D123" ca="1">IF(AND($B123=D$93,$B123=$B124-1),NPV(real_discount_rate,OFFSET(D84,,,,COUNTA($C$54:$BB$54)-COUNTA($C$54:D$54)+1)-OFFSET(D85,,,,COUNTA($C$54:$BB$54)-COUNTA($C$54:D$54)+1))*(1+real_discount_rate),IF($B123=D$2,D$6,0))</f>
        <v>0</v>
      </c>
      <c r="E123" s="180" cm="1">
        <f t="array" aca="1" ref="E123" ca="1">IF(AND($B123=E$93,$B123=$B124-1),NPV(real_discount_rate,OFFSET(E84,,,,COUNTA($C$54:$BB$54)-COUNTA($C$54:E$54)+1)-OFFSET(E85,,,,COUNTA($C$54:$BB$54)-COUNTA($C$54:E$54)+1))*(1+real_discount_rate),IF($B123=E$2,E$6,0))</f>
        <v>0</v>
      </c>
      <c r="F123" s="180" cm="1">
        <f t="array" aca="1" ref="F123" ca="1">IF(AND($B123=F$93,$B123=$B124-1),NPV(real_discount_rate,OFFSET(F84,,,,COUNTA($C$54:$BB$54)-COUNTA($C$54:F$54)+1)-OFFSET(F85,,,,COUNTA($C$54:$BB$54)-COUNTA($C$54:F$54)+1))*(1+real_discount_rate),IF($B123=F$2,F$6,0))</f>
        <v>0</v>
      </c>
      <c r="G123" s="180" cm="1">
        <f t="array" aca="1" ref="G123" ca="1">IF(AND($B123=G$93,$B123=$B124-1),NPV(real_discount_rate,OFFSET(G84,,,,COUNTA($C$54:$BB$54)-COUNTA($C$54:G$54)+1)-OFFSET(G85,,,,COUNTA($C$54:$BB$54)-COUNTA($C$54:G$54)+1))*(1+real_discount_rate),IF($B123=G$2,G$6,0))</f>
        <v>0</v>
      </c>
      <c r="H123" s="180" cm="1">
        <f t="array" aca="1" ref="H123" ca="1">IF(AND($B123=H$93,$B123=$B124-1),NPV(real_discount_rate,OFFSET(H84,,,,COUNTA($C$54:$BB$54)-COUNTA($C$54:H$54)+1)-OFFSET(H85,,,,COUNTA($C$54:$BB$54)-COUNTA($C$54:H$54)+1))*(1+real_discount_rate),IF($B123=H$2,H$6,0))</f>
        <v>0</v>
      </c>
      <c r="I123" s="180" cm="1">
        <f t="array" aca="1" ref="I123" ca="1">IF(AND($B123=I$93,$B123=$B124-1),NPV(real_discount_rate,OFFSET(I84,,,,COUNTA($C$54:$BB$54)-COUNTA($C$54:I$54)+1)-OFFSET(I85,,,,COUNTA($C$54:$BB$54)-COUNTA($C$54:I$54)+1))*(1+real_discount_rate),IF($B123=I$2,I$6,0))</f>
        <v>0</v>
      </c>
      <c r="J123" s="180" cm="1">
        <f t="array" aca="1" ref="J123" ca="1">IF(AND($B123=J$93,$B123=$B124-1),NPV(real_discount_rate,OFFSET(J84,,,,COUNTA($C$54:$BB$54)-COUNTA($C$54:J$54)+1)-OFFSET(J85,,,,COUNTA($C$54:$BB$54)-COUNTA($C$54:J$54)+1))*(1+real_discount_rate),IF($B123=J$2,J$6,0))</f>
        <v>0</v>
      </c>
      <c r="K123" s="180" cm="1">
        <f t="array" aca="1" ref="K123" ca="1">IF(AND($B123=K$93,$B123=$B124-1),NPV(real_discount_rate,OFFSET(K84,,,,COUNTA($C$54:$BB$54)-COUNTA($C$54:K$54)+1)-OFFSET(K85,,,,COUNTA($C$54:$BB$54)-COUNTA($C$54:K$54)+1))*(1+real_discount_rate),IF($B123=K$2,K$6,0))</f>
        <v>0</v>
      </c>
      <c r="L123" s="180" cm="1">
        <f t="array" aca="1" ref="L123" ca="1">IF(AND($B123=L$93,$B123=$B124-1),NPV(real_discount_rate,OFFSET(L84,,,,COUNTA($C$54:$BB$54)-COUNTA($C$54:L$54)+1)-OFFSET(L85,,,,COUNTA($C$54:$BB$54)-COUNTA($C$54:L$54)+1))*(1+real_discount_rate),IF($B123=L$2,L$6,0))</f>
        <v>0</v>
      </c>
      <c r="M123" s="180" cm="1">
        <f t="array" aca="1" ref="M123" ca="1">IF(AND($B123=M$93,$B123=$B124-1),NPV(real_discount_rate,OFFSET(M84,,,,COUNTA($C$54:$BB$54)-COUNTA($C$54:M$54)+1)-OFFSET(M85,,,,COUNTA($C$54:$BB$54)-COUNTA($C$54:M$54)+1))*(1+real_discount_rate),IF($B123=M$2,M$6,0))</f>
        <v>0</v>
      </c>
      <c r="N123" s="180" cm="1">
        <f t="array" aca="1" ref="N123" ca="1">IF(AND($B123=N$93,$B123=$B124-1),NPV(real_discount_rate,OFFSET(N84,,,,COUNTA($C$54:$BB$54)-COUNTA($C$54:N$54)+1)-OFFSET(N85,,,,COUNTA($C$54:$BB$54)-COUNTA($C$54:N$54)+1))*(1+real_discount_rate),IF($B123=N$2,N$6,0))</f>
        <v>0</v>
      </c>
      <c r="O123" s="180" cm="1">
        <f t="array" aca="1" ref="O123" ca="1">IF(AND($B123=O$93,$B123=$B124-1),NPV(real_discount_rate,OFFSET(O84,,,,COUNTA($C$54:$BB$54)-COUNTA($C$54:O$54)+1)-OFFSET(O85,,,,COUNTA($C$54:$BB$54)-COUNTA($C$54:O$54)+1))*(1+real_discount_rate),IF($B123=O$2,O$6,0))</f>
        <v>0</v>
      </c>
      <c r="P123" s="180" cm="1">
        <f t="array" aca="1" ref="P123" ca="1">IF(AND($B123=P$93,$B123=$B124-1),NPV(real_discount_rate,OFFSET(P84,,,,COUNTA($C$54:$BB$54)-COUNTA($C$54:P$54)+1)-OFFSET(P85,,,,COUNTA($C$54:$BB$54)-COUNTA($C$54:P$54)+1))*(1+real_discount_rate),IF($B123=P$2,P$6,0))</f>
        <v>0</v>
      </c>
      <c r="Q123" s="180" cm="1">
        <f t="array" aca="1" ref="Q123" ca="1">IF(AND($B123=Q$93,$B123=$B124-1),NPV(real_discount_rate,OFFSET(Q84,,,,COUNTA($C$54:$BB$54)-COUNTA($C$54:Q$54)+1)-OFFSET(Q85,,,,COUNTA($C$54:$BB$54)-COUNTA($C$54:Q$54)+1))*(1+real_discount_rate),IF($B123=Q$2,Q$6,0))</f>
        <v>0</v>
      </c>
      <c r="R123" s="180" cm="1">
        <f t="array" aca="1" ref="R123" ca="1">IF(AND($B123=R$93,$B123=$B124-1),NPV(real_discount_rate,OFFSET(R84,,,,COUNTA($C$54:$BB$54)-COUNTA($C$54:R$54)+1)-OFFSET(R85,,,,COUNTA($C$54:$BB$54)-COUNTA($C$54:R$54)+1))*(1+real_discount_rate),IF($B123=R$2,R$6,0))</f>
        <v>0</v>
      </c>
      <c r="S123" s="180" cm="1">
        <f t="array" aca="1" ref="S123" ca="1">IF(AND($B123=S$93,$B123=$B124-1),NPV(real_discount_rate,OFFSET(S84,,,,COUNTA($C$54:$BB$54)-COUNTA($C$54:S$54)+1)-OFFSET(S85,,,,COUNTA($C$54:$BB$54)-COUNTA($C$54:S$54)+1))*(1+real_discount_rate),IF($B123=S$2,S$6,0))</f>
        <v>0</v>
      </c>
      <c r="T123" s="180" cm="1">
        <f t="array" aca="1" ref="T123" ca="1">IF(AND($B123=T$93,$B123=$B124-1),NPV(real_discount_rate,OFFSET(T84,,,,COUNTA($C$54:$BB$54)-COUNTA($C$54:T$54)+1)-OFFSET(T85,,,,COUNTA($C$54:$BB$54)-COUNTA($C$54:T$54)+1))*(1+real_discount_rate),IF($B123=T$2,T$6,0))</f>
        <v>0</v>
      </c>
      <c r="U123" s="180" cm="1">
        <f t="array" aca="1" ref="U123" ca="1">IF(AND($B123=U$93,$B123=$B124-1),NPV(real_discount_rate,OFFSET(U84,,,,COUNTA($C$54:$BB$54)-COUNTA($C$54:U$54)+1)-OFFSET(U85,,,,COUNTA($C$54:$BB$54)-COUNTA($C$54:U$54)+1))*(1+real_discount_rate),IF($B123=U$2,U$6,0))</f>
        <v>0</v>
      </c>
      <c r="V123" s="180" cm="1">
        <f t="array" aca="1" ref="V123" ca="1">IF(AND($B123=V$93,$B123=$B124-1),NPV(real_discount_rate,OFFSET(V84,,,,COUNTA($C$54:$BB$54)-COUNTA($C$54:V$54)+1)-OFFSET(V85,,,,COUNTA($C$54:$BB$54)-COUNTA($C$54:V$54)+1))*(1+real_discount_rate),IF($B123=V$2,V$6,0))</f>
        <v>0</v>
      </c>
      <c r="W123" s="180" cm="1">
        <f t="array" aca="1" ref="W123" ca="1">IF(AND($B123=W$93,$B123=$B124-1),NPV(real_discount_rate,OFFSET(W84,,,,COUNTA($C$54:$BB$54)-COUNTA($C$54:W$54)+1)-OFFSET(W85,,,,COUNTA($C$54:$BB$54)-COUNTA($C$54:W$54)+1))*(1+real_discount_rate),IF($B123=W$2,W$6,0))</f>
        <v>0</v>
      </c>
      <c r="X123" s="180" cm="1">
        <f t="array" aca="1" ref="X123" ca="1">IF(AND($B123=X$93,$B123=$B124-1),NPV(real_discount_rate,OFFSET(X84,,,,COUNTA($C$54:$BB$54)-COUNTA($C$54:X$54)+1)-OFFSET(X85,,,,COUNTA($C$54:$BB$54)-COUNTA($C$54:X$54)+1))*(1+real_discount_rate),IF($B123=X$2,X$6,0))</f>
        <v>0</v>
      </c>
      <c r="Y123" s="180" cm="1">
        <f t="array" aca="1" ref="Y123" ca="1">IF(AND($B123=Y$93,$B123=$B124-1),NPV(real_discount_rate,OFFSET(Y84,,,,COUNTA($C$54:$BB$54)-COUNTA($C$54:Y$54)+1)-OFFSET(Y85,,,,COUNTA($C$54:$BB$54)-COUNTA($C$54:Y$54)+1))*(1+real_discount_rate),IF($B123=Y$2,Y$6,0))</f>
        <v>0</v>
      </c>
      <c r="Z123" s="180" cm="1">
        <f t="array" aca="1" ref="Z123" ca="1">IF(AND($B123=Z$93,$B123=$B124-1),NPV(real_discount_rate,OFFSET(Z84,,,,COUNTA($C$54:$BB$54)-COUNTA($C$54:Z$54)+1)-OFFSET(Z85,,,,COUNTA($C$54:$BB$54)-COUNTA($C$54:Z$54)+1))*(1+real_discount_rate),IF($B123=Z$2,Z$6,0))</f>
        <v>0</v>
      </c>
      <c r="AA123" s="180" cm="1">
        <f t="array" aca="1" ref="AA123" ca="1">IF(AND($B123=AA$93,$B123=$B124-1),NPV(real_discount_rate,OFFSET(AA84,,,,COUNTA($C$54:$BB$54)-COUNTA($C$54:AA$54)+1)-OFFSET(AA85,,,,COUNTA($C$54:$BB$54)-COUNTA($C$54:AA$54)+1))*(1+real_discount_rate),IF($B123=AA$2,AA$6,0))</f>
        <v>0</v>
      </c>
      <c r="AB123" s="180" cm="1">
        <f t="array" aca="1" ref="AB123" ca="1">IF(AND($B123=AB$93,$B123=$B124-1),NPV(real_discount_rate,OFFSET(AB84,,,,COUNTA($C$54:$BB$54)-COUNTA($C$54:AB$54)+1)-OFFSET(AB85,,,,COUNTA($C$54:$BB$54)-COUNTA($C$54:AB$54)+1))*(1+real_discount_rate),IF($B123=AB$2,AB$6,0))</f>
        <v>0</v>
      </c>
      <c r="AC123" s="180" cm="1">
        <f t="array" aca="1" ref="AC123" ca="1">IF(AND($B123=AC$93,$B123=$B124-1),NPV(real_discount_rate,OFFSET(AC84,,,,COUNTA($C$54:$BB$54)-COUNTA($C$54:AC$54)+1)-OFFSET(AC85,,,,COUNTA($C$54:$BB$54)-COUNTA($C$54:AC$54)+1))*(1+real_discount_rate),IF($B123=AC$2,AC$6,0))</f>
        <v>0</v>
      </c>
      <c r="AD123" s="180" cm="1">
        <f t="array" aca="1" ref="AD123" ca="1">IF(AND($B123=AD$93,$B123=$B124-1),NPV(real_discount_rate,OFFSET(AD84,,,,COUNTA($C$54:$BB$54)-COUNTA($C$54:AD$54)+1)-OFFSET(AD85,,,,COUNTA($C$54:$BB$54)-COUNTA($C$54:AD$54)+1))*(1+real_discount_rate),IF($B123=AD$2,AD$6,0))</f>
        <v>0</v>
      </c>
      <c r="AE123" s="180" cm="1">
        <f t="array" aca="1" ref="AE123" ca="1">IF(AND($B123=AE$93,$B123=$B124-1),NPV(real_discount_rate,OFFSET(AE84,,,,COUNTA($C$54:$BB$54)-COUNTA($C$54:AE$54)+1)-OFFSET(AE85,,,,COUNTA($C$54:$BB$54)-COUNTA($C$54:AE$54)+1))*(1+real_discount_rate),IF($B123=AE$2,AE$6,0))</f>
        <v>0</v>
      </c>
      <c r="AF123" s="180" cm="1">
        <f t="array" aca="1" ref="AF123" ca="1">IF(AND($B123=AF$93,$B123=$B124-1),NPV(real_discount_rate,OFFSET(AF84,,,,COUNTA($C$54:$BB$54)-COUNTA($C$54:AF$54)+1)-OFFSET(AF85,,,,COUNTA($C$54:$BB$54)-COUNTA($C$54:AF$54)+1))*(1+real_discount_rate),IF($B123=AF$2,AF$6,0))</f>
        <v>59.42</v>
      </c>
      <c r="AG123" s="180" cm="1">
        <f t="array" aca="1" ref="AG123" ca="1">IF(AND($B123=AG$93,$B123=$B124-1),NPV(real_discount_rate,OFFSET(AG84,,,,COUNTA($C$54:$BB$54)-COUNTA($C$54:AG$54)+1)-OFFSET(AG85,,,,COUNTA($C$54:$BB$54)-COUNTA($C$54:AG$54)+1))*(1+real_discount_rate),IF($B123=AG$2,AG$6,0))</f>
        <v>0</v>
      </c>
      <c r="AH123" s="649" cm="1">
        <f t="array" aca="1" ref="AH123" ca="1">IF(AND($B123=AH$93,$B123=$B124-1),NPV(real_discount_rate,OFFSET(AH84,,,,COUNTA($C$54:$BB$54)-COUNTA($C$54:AH$54)+1)-OFFSET(AH85,,,,COUNTA($C$54:$BB$54)-COUNTA($C$54:AH$54)+1))*(1+real_discount_rate),IF($B123=AH$2,AH$6,0))</f>
        <v>0</v>
      </c>
      <c r="AI123" s="653"/>
      <c r="AJ123" s="653"/>
      <c r="AK123" s="653"/>
      <c r="AL123" s="653"/>
      <c r="AM123" s="653"/>
      <c r="AN123" s="653"/>
      <c r="AO123" s="653"/>
      <c r="AP123" s="653"/>
      <c r="AQ123" s="653"/>
      <c r="AR123" s="653"/>
      <c r="AS123" s="653"/>
      <c r="AT123" s="653"/>
      <c r="AU123" s="653"/>
      <c r="AV123" s="653"/>
      <c r="AW123" s="653"/>
      <c r="AX123" s="653"/>
      <c r="AY123" s="653"/>
      <c r="AZ123" s="653"/>
      <c r="BA123" s="653"/>
      <c r="BB123" s="182"/>
      <c r="BC123" s="410"/>
    </row>
    <row r="124" spans="2:55" x14ac:dyDescent="0.3">
      <c r="B124" s="28">
        <v>2051</v>
      </c>
      <c r="C124" s="179" cm="1">
        <f t="array" aca="1" ref="C124" ca="1">IF(AND($B124=C$93,$B124=$B125-1),NPV(real_discount_rate,OFFSET(C85,,,,COUNTA($C$54:$BB$54)-COUNTA($C$54:C$54)+1)-OFFSET(C86,,,,COUNTA($C$54:$BB$54)-COUNTA($C$54:C$54)+1))*(1+real_discount_rate),IF($B124=C$2,C$6,0))</f>
        <v>0</v>
      </c>
      <c r="D124" s="180" cm="1">
        <f t="array" aca="1" ref="D124" ca="1">IF(AND($B124=D$93,$B124=$B125-1),NPV(real_discount_rate,OFFSET(D85,,,,COUNTA($C$54:$BB$54)-COUNTA($C$54:D$54)+1)-OFFSET(D86,,,,COUNTA($C$54:$BB$54)-COUNTA($C$54:D$54)+1))*(1+real_discount_rate),IF($B124=D$2,D$6,0))</f>
        <v>0</v>
      </c>
      <c r="E124" s="180" cm="1">
        <f t="array" aca="1" ref="E124" ca="1">IF(AND($B124=E$93,$B124=$B125-1),NPV(real_discount_rate,OFFSET(E85,,,,COUNTA($C$54:$BB$54)-COUNTA($C$54:E$54)+1)-OFFSET(E86,,,,COUNTA($C$54:$BB$54)-COUNTA($C$54:E$54)+1))*(1+real_discount_rate),IF($B124=E$2,E$6,0))</f>
        <v>0</v>
      </c>
      <c r="F124" s="180" cm="1">
        <f t="array" aca="1" ref="F124" ca="1">IF(AND($B124=F$93,$B124=$B125-1),NPV(real_discount_rate,OFFSET(F85,,,,COUNTA($C$54:$BB$54)-COUNTA($C$54:F$54)+1)-OFFSET(F86,,,,COUNTA($C$54:$BB$54)-COUNTA($C$54:F$54)+1))*(1+real_discount_rate),IF($B124=F$2,F$6,0))</f>
        <v>0</v>
      </c>
      <c r="G124" s="180" cm="1">
        <f t="array" aca="1" ref="G124" ca="1">IF(AND($B124=G$93,$B124=$B125-1),NPV(real_discount_rate,OFFSET(G85,,,,COUNTA($C$54:$BB$54)-COUNTA($C$54:G$54)+1)-OFFSET(G86,,,,COUNTA($C$54:$BB$54)-COUNTA($C$54:G$54)+1))*(1+real_discount_rate),IF($B124=G$2,G$6,0))</f>
        <v>0</v>
      </c>
      <c r="H124" s="180" cm="1">
        <f t="array" aca="1" ref="H124" ca="1">IF(AND($B124=H$93,$B124=$B125-1),NPV(real_discount_rate,OFFSET(H85,,,,COUNTA($C$54:$BB$54)-COUNTA($C$54:H$54)+1)-OFFSET(H86,,,,COUNTA($C$54:$BB$54)-COUNTA($C$54:H$54)+1))*(1+real_discount_rate),IF($B124=H$2,H$6,0))</f>
        <v>0</v>
      </c>
      <c r="I124" s="180" cm="1">
        <f t="array" aca="1" ref="I124" ca="1">IF(AND($B124=I$93,$B124=$B125-1),NPV(real_discount_rate,OFFSET(I85,,,,COUNTA($C$54:$BB$54)-COUNTA($C$54:I$54)+1)-OFFSET(I86,,,,COUNTA($C$54:$BB$54)-COUNTA($C$54:I$54)+1))*(1+real_discount_rate),IF($B124=I$2,I$6,0))</f>
        <v>0</v>
      </c>
      <c r="J124" s="180" cm="1">
        <f t="array" aca="1" ref="J124" ca="1">IF(AND($B124=J$93,$B124=$B125-1),NPV(real_discount_rate,OFFSET(J85,,,,COUNTA($C$54:$BB$54)-COUNTA($C$54:J$54)+1)-OFFSET(J86,,,,COUNTA($C$54:$BB$54)-COUNTA($C$54:J$54)+1))*(1+real_discount_rate),IF($B124=J$2,J$6,0))</f>
        <v>0</v>
      </c>
      <c r="K124" s="180" cm="1">
        <f t="array" aca="1" ref="K124" ca="1">IF(AND($B124=K$93,$B124=$B125-1),NPV(real_discount_rate,OFFSET(K85,,,,COUNTA($C$54:$BB$54)-COUNTA($C$54:K$54)+1)-OFFSET(K86,,,,COUNTA($C$54:$BB$54)-COUNTA($C$54:K$54)+1))*(1+real_discount_rate),IF($B124=K$2,K$6,0))</f>
        <v>0</v>
      </c>
      <c r="L124" s="180" cm="1">
        <f t="array" aca="1" ref="L124" ca="1">IF(AND($B124=L$93,$B124=$B125-1),NPV(real_discount_rate,OFFSET(L85,,,,COUNTA($C$54:$BB$54)-COUNTA($C$54:L$54)+1)-OFFSET(L86,,,,COUNTA($C$54:$BB$54)-COUNTA($C$54:L$54)+1))*(1+real_discount_rate),IF($B124=L$2,L$6,0))</f>
        <v>0</v>
      </c>
      <c r="M124" s="180" cm="1">
        <f t="array" aca="1" ref="M124" ca="1">IF(AND($B124=M$93,$B124=$B125-1),NPV(real_discount_rate,OFFSET(M85,,,,COUNTA($C$54:$BB$54)-COUNTA($C$54:M$54)+1)-OFFSET(M86,,,,COUNTA($C$54:$BB$54)-COUNTA($C$54:M$54)+1))*(1+real_discount_rate),IF($B124=M$2,M$6,0))</f>
        <v>0</v>
      </c>
      <c r="N124" s="180" cm="1">
        <f t="array" aca="1" ref="N124" ca="1">IF(AND($B124=N$93,$B124=$B125-1),NPV(real_discount_rate,OFFSET(N85,,,,COUNTA($C$54:$BB$54)-COUNTA($C$54:N$54)+1)-OFFSET(N86,,,,COUNTA($C$54:$BB$54)-COUNTA($C$54:N$54)+1))*(1+real_discount_rate),IF($B124=N$2,N$6,0))</f>
        <v>0</v>
      </c>
      <c r="O124" s="180" cm="1">
        <f t="array" aca="1" ref="O124" ca="1">IF(AND($B124=O$93,$B124=$B125-1),NPV(real_discount_rate,OFFSET(O85,,,,COUNTA($C$54:$BB$54)-COUNTA($C$54:O$54)+1)-OFFSET(O86,,,,COUNTA($C$54:$BB$54)-COUNTA($C$54:O$54)+1))*(1+real_discount_rate),IF($B124=O$2,O$6,0))</f>
        <v>0</v>
      </c>
      <c r="P124" s="180" cm="1">
        <f t="array" aca="1" ref="P124" ca="1">IF(AND($B124=P$93,$B124=$B125-1),NPV(real_discount_rate,OFFSET(P85,,,,COUNTA($C$54:$BB$54)-COUNTA($C$54:P$54)+1)-OFFSET(P86,,,,COUNTA($C$54:$BB$54)-COUNTA($C$54:P$54)+1))*(1+real_discount_rate),IF($B124=P$2,P$6,0))</f>
        <v>0</v>
      </c>
      <c r="Q124" s="180" cm="1">
        <f t="array" aca="1" ref="Q124" ca="1">IF(AND($B124=Q$93,$B124=$B125-1),NPV(real_discount_rate,OFFSET(Q85,,,,COUNTA($C$54:$BB$54)-COUNTA($C$54:Q$54)+1)-OFFSET(Q86,,,,COUNTA($C$54:$BB$54)-COUNTA($C$54:Q$54)+1))*(1+real_discount_rate),IF($B124=Q$2,Q$6,0))</f>
        <v>0</v>
      </c>
      <c r="R124" s="180" cm="1">
        <f t="array" aca="1" ref="R124" ca="1">IF(AND($B124=R$93,$B124=$B125-1),NPV(real_discount_rate,OFFSET(R85,,,,COUNTA($C$54:$BB$54)-COUNTA($C$54:R$54)+1)-OFFSET(R86,,,,COUNTA($C$54:$BB$54)-COUNTA($C$54:R$54)+1))*(1+real_discount_rate),IF($B124=R$2,R$6,0))</f>
        <v>0</v>
      </c>
      <c r="S124" s="180" cm="1">
        <f t="array" aca="1" ref="S124" ca="1">IF(AND($B124=S$93,$B124=$B125-1),NPV(real_discount_rate,OFFSET(S85,,,,COUNTA($C$54:$BB$54)-COUNTA($C$54:S$54)+1)-OFFSET(S86,,,,COUNTA($C$54:$BB$54)-COUNTA($C$54:S$54)+1))*(1+real_discount_rate),IF($B124=S$2,S$6,0))</f>
        <v>0</v>
      </c>
      <c r="T124" s="180" cm="1">
        <f t="array" aca="1" ref="T124" ca="1">IF(AND($B124=T$93,$B124=$B125-1),NPV(real_discount_rate,OFFSET(T85,,,,COUNTA($C$54:$BB$54)-COUNTA($C$54:T$54)+1)-OFFSET(T86,,,,COUNTA($C$54:$BB$54)-COUNTA($C$54:T$54)+1))*(1+real_discount_rate),IF($B124=T$2,T$6,0))</f>
        <v>0</v>
      </c>
      <c r="U124" s="180" cm="1">
        <f t="array" aca="1" ref="U124" ca="1">IF(AND($B124=U$93,$B124=$B125-1),NPV(real_discount_rate,OFFSET(U85,,,,COUNTA($C$54:$BB$54)-COUNTA($C$54:U$54)+1)-OFFSET(U86,,,,COUNTA($C$54:$BB$54)-COUNTA($C$54:U$54)+1))*(1+real_discount_rate),IF($B124=U$2,U$6,0))</f>
        <v>0</v>
      </c>
      <c r="V124" s="180" cm="1">
        <f t="array" aca="1" ref="V124" ca="1">IF(AND($B124=V$93,$B124=$B125-1),NPV(real_discount_rate,OFFSET(V85,,,,COUNTA($C$54:$BB$54)-COUNTA($C$54:V$54)+1)-OFFSET(V86,,,,COUNTA($C$54:$BB$54)-COUNTA($C$54:V$54)+1))*(1+real_discount_rate),IF($B124=V$2,V$6,0))</f>
        <v>0</v>
      </c>
      <c r="W124" s="180" cm="1">
        <f t="array" aca="1" ref="W124" ca="1">IF(AND($B124=W$93,$B124=$B125-1),NPV(real_discount_rate,OFFSET(W85,,,,COUNTA($C$54:$BB$54)-COUNTA($C$54:W$54)+1)-OFFSET(W86,,,,COUNTA($C$54:$BB$54)-COUNTA($C$54:W$54)+1))*(1+real_discount_rate),IF($B124=W$2,W$6,0))</f>
        <v>0</v>
      </c>
      <c r="X124" s="180" cm="1">
        <f t="array" aca="1" ref="X124" ca="1">IF(AND($B124=X$93,$B124=$B125-1),NPV(real_discount_rate,OFFSET(X85,,,,COUNTA($C$54:$BB$54)-COUNTA($C$54:X$54)+1)-OFFSET(X86,,,,COUNTA($C$54:$BB$54)-COUNTA($C$54:X$54)+1))*(1+real_discount_rate),IF($B124=X$2,X$6,0))</f>
        <v>0</v>
      </c>
      <c r="Y124" s="180" cm="1">
        <f t="array" aca="1" ref="Y124" ca="1">IF(AND($B124=Y$93,$B124=$B125-1),NPV(real_discount_rate,OFFSET(Y85,,,,COUNTA($C$54:$BB$54)-COUNTA($C$54:Y$54)+1)-OFFSET(Y86,,,,COUNTA($C$54:$BB$54)-COUNTA($C$54:Y$54)+1))*(1+real_discount_rate),IF($B124=Y$2,Y$6,0))</f>
        <v>0</v>
      </c>
      <c r="Z124" s="180" cm="1">
        <f t="array" aca="1" ref="Z124" ca="1">IF(AND($B124=Z$93,$B124=$B125-1),NPV(real_discount_rate,OFFSET(Z85,,,,COUNTA($C$54:$BB$54)-COUNTA($C$54:Z$54)+1)-OFFSET(Z86,,,,COUNTA($C$54:$BB$54)-COUNTA($C$54:Z$54)+1))*(1+real_discount_rate),IF($B124=Z$2,Z$6,0))</f>
        <v>0</v>
      </c>
      <c r="AA124" s="180" cm="1">
        <f t="array" aca="1" ref="AA124" ca="1">IF(AND($B124=AA$93,$B124=$B125-1),NPV(real_discount_rate,OFFSET(AA85,,,,COUNTA($C$54:$BB$54)-COUNTA($C$54:AA$54)+1)-OFFSET(AA86,,,,COUNTA($C$54:$BB$54)-COUNTA($C$54:AA$54)+1))*(1+real_discount_rate),IF($B124=AA$2,AA$6,0))</f>
        <v>0</v>
      </c>
      <c r="AB124" s="180" cm="1">
        <f t="array" aca="1" ref="AB124" ca="1">IF(AND($B124=AB$93,$B124=$B125-1),NPV(real_discount_rate,OFFSET(AB85,,,,COUNTA($C$54:$BB$54)-COUNTA($C$54:AB$54)+1)-OFFSET(AB86,,,,COUNTA($C$54:$BB$54)-COUNTA($C$54:AB$54)+1))*(1+real_discount_rate),IF($B124=AB$2,AB$6,0))</f>
        <v>0</v>
      </c>
      <c r="AC124" s="180" cm="1">
        <f t="array" aca="1" ref="AC124" ca="1">IF(AND($B124=AC$93,$B124=$B125-1),NPV(real_discount_rate,OFFSET(AC85,,,,COUNTA($C$54:$BB$54)-COUNTA($C$54:AC$54)+1)-OFFSET(AC86,,,,COUNTA($C$54:$BB$54)-COUNTA($C$54:AC$54)+1))*(1+real_discount_rate),IF($B124=AC$2,AC$6,0))</f>
        <v>0</v>
      </c>
      <c r="AD124" s="180" cm="1">
        <f t="array" aca="1" ref="AD124" ca="1">IF(AND($B124=AD$93,$B124=$B125-1),NPV(real_discount_rate,OFFSET(AD85,,,,COUNTA($C$54:$BB$54)-COUNTA($C$54:AD$54)+1)-OFFSET(AD86,,,,COUNTA($C$54:$BB$54)-COUNTA($C$54:AD$54)+1))*(1+real_discount_rate),IF($B124=AD$2,AD$6,0))</f>
        <v>0</v>
      </c>
      <c r="AE124" s="180" cm="1">
        <f t="array" aca="1" ref="AE124" ca="1">IF(AND($B124=AE$93,$B124=$B125-1),NPV(real_discount_rate,OFFSET(AE85,,,,COUNTA($C$54:$BB$54)-COUNTA($C$54:AE$54)+1)-OFFSET(AE86,,,,COUNTA($C$54:$BB$54)-COUNTA($C$54:AE$54)+1))*(1+real_discount_rate),IF($B124=AE$2,AE$6,0))</f>
        <v>0</v>
      </c>
      <c r="AF124" s="180" cm="1">
        <f t="array" aca="1" ref="AF124" ca="1">IF(AND($B124=AF$93,$B124=$B125-1),NPV(real_discount_rate,OFFSET(AF85,,,,COUNTA($C$54:$BB$54)-COUNTA($C$54:AF$54)+1)-OFFSET(AF86,,,,COUNTA($C$54:$BB$54)-COUNTA($C$54:AF$54)+1))*(1+real_discount_rate),IF($B124=AF$2,AF$6,0))</f>
        <v>0</v>
      </c>
      <c r="AG124" s="180" cm="1">
        <f t="array" aca="1" ref="AG124" ca="1">IF(AND($B124=AG$93,$B124=$B125-1),NPV(real_discount_rate,OFFSET(AG85,,,,COUNTA($C$54:$BB$54)-COUNTA($C$54:AG$54)+1)-OFFSET(AG86,,,,COUNTA($C$54:$BB$54)-COUNTA($C$54:AG$54)+1))*(1+real_discount_rate),IF($B124=AG$2,AG$6,0))</f>
        <v>59.42</v>
      </c>
      <c r="AH124" s="649" cm="1">
        <f t="array" aca="1" ref="AH124" ca="1">IF(AND($B124=AH$93,$B124=$B125-1),NPV(real_discount_rate,OFFSET(AH85,,,,COUNTA($C$54:$BB$54)-COUNTA($C$54:AH$54)+1)-OFFSET(AH86,,,,COUNTA($C$54:$BB$54)-COUNTA($C$54:AH$54)+1))*(1+real_discount_rate),IF($B124=AH$2,AH$6,0))</f>
        <v>0</v>
      </c>
      <c r="AI124" s="653"/>
      <c r="AJ124" s="653"/>
      <c r="AK124" s="653"/>
      <c r="AL124" s="653"/>
      <c r="AM124" s="653"/>
      <c r="AN124" s="653"/>
      <c r="AO124" s="653"/>
      <c r="AP124" s="653"/>
      <c r="AQ124" s="653"/>
      <c r="AR124" s="653"/>
      <c r="AS124" s="653"/>
      <c r="AT124" s="653"/>
      <c r="AU124" s="653"/>
      <c r="AV124" s="653"/>
      <c r="AW124" s="653"/>
      <c r="AX124" s="653"/>
      <c r="AY124" s="653"/>
      <c r="AZ124" s="653"/>
      <c r="BA124" s="653"/>
      <c r="BB124" s="182"/>
      <c r="BC124" s="410"/>
    </row>
    <row r="125" spans="2:55" x14ac:dyDescent="0.3">
      <c r="B125" s="28">
        <v>2052</v>
      </c>
      <c r="C125" s="179" cm="1">
        <f t="array" aca="1" ref="C125" ca="1">IF(AND($B125=C$93,$B125=$B127-1),NPV(real_discount_rate,OFFSET(C86,,,,COUNTA($C$54:$BB$54)-COUNTA($C$54:C$54)+1)-OFFSET(C87,,,,COUNTA($C$54:$BB$54)-COUNTA($C$54:C$54)+1))*(1+real_discount_rate),IF($B125=C$2,C$6,0))</f>
        <v>0</v>
      </c>
      <c r="D125" s="180" cm="1">
        <f t="array" aca="1" ref="D125" ca="1">IF(AND($B125=D$93,$B125=$B127-1),NPV(real_discount_rate,OFFSET(D86,,,,COUNTA($C$54:$BB$54)-COUNTA($C$54:D$54)+1)-OFFSET(D87,,,,COUNTA($C$54:$BB$54)-COUNTA($C$54:D$54)+1))*(1+real_discount_rate),IF($B125=D$2,D$6,0))</f>
        <v>0</v>
      </c>
      <c r="E125" s="180" cm="1">
        <f t="array" aca="1" ref="E125" ca="1">IF(AND($B125=E$93,$B125=$B127-1),NPV(real_discount_rate,OFFSET(E86,,,,COUNTA($C$54:$BB$54)-COUNTA($C$54:E$54)+1)-OFFSET(E87,,,,COUNTA($C$54:$BB$54)-COUNTA($C$54:E$54)+1))*(1+real_discount_rate),IF($B125=E$2,E$6,0))</f>
        <v>0</v>
      </c>
      <c r="F125" s="180" cm="1">
        <f t="array" aca="1" ref="F125" ca="1">IF(AND($B125=F$93,$B125=$B127-1),NPV(real_discount_rate,OFFSET(F86,,,,COUNTA($C$54:$BB$54)-COUNTA($C$54:F$54)+1)-OFFSET(F87,,,,COUNTA($C$54:$BB$54)-COUNTA($C$54:F$54)+1))*(1+real_discount_rate),IF($B125=F$2,F$6,0))</f>
        <v>0</v>
      </c>
      <c r="G125" s="180" cm="1">
        <f t="array" aca="1" ref="G125" ca="1">IF(AND($B125=G$93,$B125=$B127-1),NPV(real_discount_rate,OFFSET(G86,,,,COUNTA($C$54:$BB$54)-COUNTA($C$54:G$54)+1)-OFFSET(G87,,,,COUNTA($C$54:$BB$54)-COUNTA($C$54:G$54)+1))*(1+real_discount_rate),IF($B125=G$2,G$6,0))</f>
        <v>0</v>
      </c>
      <c r="H125" s="180" cm="1">
        <f t="array" aca="1" ref="H125" ca="1">IF(AND($B125=H$93,$B125=$B127-1),NPV(real_discount_rate,OFFSET(H86,,,,COUNTA($C$54:$BB$54)-COUNTA($C$54:H$54)+1)-OFFSET(H87,,,,COUNTA($C$54:$BB$54)-COUNTA($C$54:H$54)+1))*(1+real_discount_rate),IF($B125=H$2,H$6,0))</f>
        <v>0</v>
      </c>
      <c r="I125" s="180" cm="1">
        <f t="array" aca="1" ref="I125" ca="1">IF(AND($B125=I$93,$B125=$B127-1),NPV(real_discount_rate,OFFSET(I86,,,,COUNTA($C$54:$BB$54)-COUNTA($C$54:I$54)+1)-OFFSET(I87,,,,COUNTA($C$54:$BB$54)-COUNTA($C$54:I$54)+1))*(1+real_discount_rate),IF($B125=I$2,I$6,0))</f>
        <v>0</v>
      </c>
      <c r="J125" s="180" cm="1">
        <f t="array" aca="1" ref="J125" ca="1">IF(AND($B125=J$93,$B125=$B127-1),NPV(real_discount_rate,OFFSET(J86,,,,COUNTA($C$54:$BB$54)-COUNTA($C$54:J$54)+1)-OFFSET(J87,,,,COUNTA($C$54:$BB$54)-COUNTA($C$54:J$54)+1))*(1+real_discount_rate),IF($B125=J$2,J$6,0))</f>
        <v>0</v>
      </c>
      <c r="K125" s="180" cm="1">
        <f t="array" aca="1" ref="K125" ca="1">IF(AND($B125=K$93,$B125=$B127-1),NPV(real_discount_rate,OFFSET(K86,,,,COUNTA($C$54:$BB$54)-COUNTA($C$54:K$54)+1)-OFFSET(K87,,,,COUNTA($C$54:$BB$54)-COUNTA($C$54:K$54)+1))*(1+real_discount_rate),IF($B125=K$2,K$6,0))</f>
        <v>0</v>
      </c>
      <c r="L125" s="180" cm="1">
        <f t="array" aca="1" ref="L125" ca="1">IF(AND($B125=L$93,$B125=$B127-1),NPV(real_discount_rate,OFFSET(L86,,,,COUNTA($C$54:$BB$54)-COUNTA($C$54:L$54)+1)-OFFSET(L87,,,,COUNTA($C$54:$BB$54)-COUNTA($C$54:L$54)+1))*(1+real_discount_rate),IF($B125=L$2,L$6,0))</f>
        <v>0</v>
      </c>
      <c r="M125" s="180" cm="1">
        <f t="array" aca="1" ref="M125" ca="1">IF(AND($B125=M$93,$B125=$B127-1),NPV(real_discount_rate,OFFSET(M86,,,,COUNTA($C$54:$BB$54)-COUNTA($C$54:M$54)+1)-OFFSET(M87,,,,COUNTA($C$54:$BB$54)-COUNTA($C$54:M$54)+1))*(1+real_discount_rate),IF($B125=M$2,M$6,0))</f>
        <v>0</v>
      </c>
      <c r="N125" s="180" cm="1">
        <f t="array" aca="1" ref="N125" ca="1">IF(AND($B125=N$93,$B125=$B127-1),NPV(real_discount_rate,OFFSET(N86,,,,COUNTA($C$54:$BB$54)-COUNTA($C$54:N$54)+1)-OFFSET(N87,,,,COUNTA($C$54:$BB$54)-COUNTA($C$54:N$54)+1))*(1+real_discount_rate),IF($B125=N$2,N$6,0))</f>
        <v>0</v>
      </c>
      <c r="O125" s="180" cm="1">
        <f t="array" aca="1" ref="O125" ca="1">IF(AND($B125=O$93,$B125=$B127-1),NPV(real_discount_rate,OFFSET(O86,,,,COUNTA($C$54:$BB$54)-COUNTA($C$54:O$54)+1)-OFFSET(O87,,,,COUNTA($C$54:$BB$54)-COUNTA($C$54:O$54)+1))*(1+real_discount_rate),IF($B125=O$2,O$6,0))</f>
        <v>0</v>
      </c>
      <c r="P125" s="180" cm="1">
        <f t="array" aca="1" ref="P125" ca="1">IF(AND($B125=P$93,$B125=$B127-1),NPV(real_discount_rate,OFFSET(P86,,,,COUNTA($C$54:$BB$54)-COUNTA($C$54:P$54)+1)-OFFSET(P87,,,,COUNTA($C$54:$BB$54)-COUNTA($C$54:P$54)+1))*(1+real_discount_rate),IF($B125=P$2,P$6,0))</f>
        <v>0</v>
      </c>
      <c r="Q125" s="180" cm="1">
        <f t="array" aca="1" ref="Q125" ca="1">IF(AND($B125=Q$93,$B125=$B127-1),NPV(real_discount_rate,OFFSET(Q86,,,,COUNTA($C$54:$BB$54)-COUNTA($C$54:Q$54)+1)-OFFSET(Q87,,,,COUNTA($C$54:$BB$54)-COUNTA($C$54:Q$54)+1))*(1+real_discount_rate),IF($B125=Q$2,Q$6,0))</f>
        <v>0</v>
      </c>
      <c r="R125" s="180" cm="1">
        <f t="array" aca="1" ref="R125" ca="1">IF(AND($B125=R$93,$B125=$B127-1),NPV(real_discount_rate,OFFSET(R86,,,,COUNTA($C$54:$BB$54)-COUNTA($C$54:R$54)+1)-OFFSET(R87,,,,COUNTA($C$54:$BB$54)-COUNTA($C$54:R$54)+1))*(1+real_discount_rate),IF($B125=R$2,R$6,0))</f>
        <v>0</v>
      </c>
      <c r="S125" s="180" cm="1">
        <f t="array" aca="1" ref="S125" ca="1">IF(AND($B125=S$93,$B125=$B127-1),NPV(real_discount_rate,OFFSET(S86,,,,COUNTA($C$54:$BB$54)-COUNTA($C$54:S$54)+1)-OFFSET(S87,,,,COUNTA($C$54:$BB$54)-COUNTA($C$54:S$54)+1))*(1+real_discount_rate),IF($B125=S$2,S$6,0))</f>
        <v>0</v>
      </c>
      <c r="T125" s="180" cm="1">
        <f t="array" aca="1" ref="T125" ca="1">IF(AND($B125=T$93,$B125=$B127-1),NPV(real_discount_rate,OFFSET(T86,,,,COUNTA($C$54:$BB$54)-COUNTA($C$54:T$54)+1)-OFFSET(T87,,,,COUNTA($C$54:$BB$54)-COUNTA($C$54:T$54)+1))*(1+real_discount_rate),IF($B125=T$2,T$6,0))</f>
        <v>0</v>
      </c>
      <c r="U125" s="180" cm="1">
        <f t="array" aca="1" ref="U125" ca="1">IF(AND($B125=U$93,$B125=$B127-1),NPV(real_discount_rate,OFFSET(U86,,,,COUNTA($C$54:$BB$54)-COUNTA($C$54:U$54)+1)-OFFSET(U87,,,,COUNTA($C$54:$BB$54)-COUNTA($C$54:U$54)+1))*(1+real_discount_rate),IF($B125=U$2,U$6,0))</f>
        <v>0</v>
      </c>
      <c r="V125" s="180" cm="1">
        <f t="array" aca="1" ref="V125" ca="1">IF(AND($B125=V$93,$B125=$B127-1),NPV(real_discount_rate,OFFSET(V86,,,,COUNTA($C$54:$BB$54)-COUNTA($C$54:V$54)+1)-OFFSET(V87,,,,COUNTA($C$54:$BB$54)-COUNTA($C$54:V$54)+1))*(1+real_discount_rate),IF($B125=V$2,V$6,0))</f>
        <v>0</v>
      </c>
      <c r="W125" s="180" cm="1">
        <f t="array" aca="1" ref="W125" ca="1">IF(AND($B125=W$93,$B125=$B127-1),NPV(real_discount_rate,OFFSET(W86,,,,COUNTA($C$54:$BB$54)-COUNTA($C$54:W$54)+1)-OFFSET(W87,,,,COUNTA($C$54:$BB$54)-COUNTA($C$54:W$54)+1))*(1+real_discount_rate),IF($B125=W$2,W$6,0))</f>
        <v>0</v>
      </c>
      <c r="X125" s="180" cm="1">
        <f t="array" aca="1" ref="X125" ca="1">IF(AND($B125=X$93,$B125=$B127-1),NPV(real_discount_rate,OFFSET(X86,,,,COUNTA($C$54:$BB$54)-COUNTA($C$54:X$54)+1)-OFFSET(X87,,,,COUNTA($C$54:$BB$54)-COUNTA($C$54:X$54)+1))*(1+real_discount_rate),IF($B125=X$2,X$6,0))</f>
        <v>0</v>
      </c>
      <c r="Y125" s="180" cm="1">
        <f t="array" aca="1" ref="Y125" ca="1">IF(AND($B125=Y$93,$B125=$B127-1),NPV(real_discount_rate,OFFSET(Y86,,,,COUNTA($C$54:$BB$54)-COUNTA($C$54:Y$54)+1)-OFFSET(Y87,,,,COUNTA($C$54:$BB$54)-COUNTA($C$54:Y$54)+1))*(1+real_discount_rate),IF($B125=Y$2,Y$6,0))</f>
        <v>0</v>
      </c>
      <c r="Z125" s="180" cm="1">
        <f t="array" aca="1" ref="Z125" ca="1">IF(AND($B125=Z$93,$B125=$B127-1),NPV(real_discount_rate,OFFSET(Z86,,,,COUNTA($C$54:$BB$54)-COUNTA($C$54:Z$54)+1)-OFFSET(Z87,,,,COUNTA($C$54:$BB$54)-COUNTA($C$54:Z$54)+1))*(1+real_discount_rate),IF($B125=Z$2,Z$6,0))</f>
        <v>0</v>
      </c>
      <c r="AA125" s="180" cm="1">
        <f t="array" aca="1" ref="AA125" ca="1">IF(AND($B125=AA$93,$B125=$B127-1),NPV(real_discount_rate,OFFSET(AA86,,,,COUNTA($C$54:$BB$54)-COUNTA($C$54:AA$54)+1)-OFFSET(AA87,,,,COUNTA($C$54:$BB$54)-COUNTA($C$54:AA$54)+1))*(1+real_discount_rate),IF($B125=AA$2,AA$6,0))</f>
        <v>0</v>
      </c>
      <c r="AB125" s="180" cm="1">
        <f t="array" aca="1" ref="AB125" ca="1">IF(AND($B125=AB$93,$B125=$B127-1),NPV(real_discount_rate,OFFSET(AB86,,,,COUNTA($C$54:$BB$54)-COUNTA($C$54:AB$54)+1)-OFFSET(AB87,,,,COUNTA($C$54:$BB$54)-COUNTA($C$54:AB$54)+1))*(1+real_discount_rate),IF($B125=AB$2,AB$6,0))</f>
        <v>0</v>
      </c>
      <c r="AC125" s="180" cm="1">
        <f t="array" aca="1" ref="AC125" ca="1">IF(AND($B125=AC$93,$B125=$B127-1),NPV(real_discount_rate,OFFSET(AC86,,,,COUNTA($C$54:$BB$54)-COUNTA($C$54:AC$54)+1)-OFFSET(AC87,,,,COUNTA($C$54:$BB$54)-COUNTA($C$54:AC$54)+1))*(1+real_discount_rate),IF($B125=AC$2,AC$6,0))</f>
        <v>0</v>
      </c>
      <c r="AD125" s="180" cm="1">
        <f t="array" aca="1" ref="AD125" ca="1">IF(AND($B125=AD$93,$B125=$B127-1),NPV(real_discount_rate,OFFSET(AD86,,,,COUNTA($C$54:$BB$54)-COUNTA($C$54:AD$54)+1)-OFFSET(AD87,,,,COUNTA($C$54:$BB$54)-COUNTA($C$54:AD$54)+1))*(1+real_discount_rate),IF($B125=AD$2,AD$6,0))</f>
        <v>0</v>
      </c>
      <c r="AE125" s="180" cm="1">
        <f t="array" aca="1" ref="AE125" ca="1">IF(AND($B125=AE$93,$B125=$B127-1),NPV(real_discount_rate,OFFSET(AE86,,,,COUNTA($C$54:$BB$54)-COUNTA($C$54:AE$54)+1)-OFFSET(AE87,,,,COUNTA($C$54:$BB$54)-COUNTA($C$54:AE$54)+1))*(1+real_discount_rate),IF($B125=AE$2,AE$6,0))</f>
        <v>0</v>
      </c>
      <c r="AF125" s="180" cm="1">
        <f t="array" aca="1" ref="AF125" ca="1">IF(AND($B125=AF$93,$B125=$B127-1),NPV(real_discount_rate,OFFSET(AF86,,,,COUNTA($C$54:$BB$54)-COUNTA($C$54:AF$54)+1)-OFFSET(AF87,,,,COUNTA($C$54:$BB$54)-COUNTA($C$54:AF$54)+1))*(1+real_discount_rate),IF($B125=AF$2,AF$6,0))</f>
        <v>0</v>
      </c>
      <c r="AG125" s="180" cm="1">
        <f t="array" aca="1" ref="AG125" ca="1">IF(AND($B125=AG$93,$B125=$B127-1),NPV(real_discount_rate,OFFSET(AG86,,,,COUNTA($C$54:$BB$54)-COUNTA($C$54:AG$54)+1)-OFFSET(AG87,,,,COUNTA($C$54:$BB$54)-COUNTA($C$54:AG$54)+1))*(1+real_discount_rate),IF($B125=AG$2,AG$6,0))</f>
        <v>0</v>
      </c>
      <c r="AH125" s="649" cm="1">
        <f t="array" aca="1" ref="AH125" ca="1">IF(AND($B125=AH$93,$B125=$B127-1),NPV(real_discount_rate,OFFSET(AH86,,,,COUNTA($C$54:$BB$54)-COUNTA($C$54:AH$54)+1)-OFFSET(AH87,,,,COUNTA($C$54:$BB$54)-COUNTA($C$54:AH$54)+1))*(1+real_discount_rate),IF($B125=AH$2,AH$6,0))</f>
        <v>59.42</v>
      </c>
      <c r="AI125" s="653"/>
      <c r="AJ125" s="653"/>
      <c r="AK125" s="653"/>
      <c r="AL125" s="653"/>
      <c r="AM125" s="653"/>
      <c r="AN125" s="653"/>
      <c r="AO125" s="653"/>
      <c r="AP125" s="653"/>
      <c r="AQ125" s="653"/>
      <c r="AR125" s="653"/>
      <c r="AS125" s="653"/>
      <c r="AT125" s="653"/>
      <c r="AU125" s="653"/>
      <c r="AV125" s="653"/>
      <c r="AW125" s="653"/>
      <c r="AX125" s="653"/>
      <c r="AY125" s="653"/>
      <c r="AZ125" s="653"/>
      <c r="BA125" s="653"/>
      <c r="BB125" s="182"/>
      <c r="BC125" s="410"/>
    </row>
    <row r="126" spans="2:55" x14ac:dyDescent="0.3">
      <c r="B126" s="637" t="s">
        <v>480</v>
      </c>
      <c r="C126" s="650">
        <f t="shared" ref="C126:AH126" ca="1" si="23">SUM(C94:C125)</f>
        <v>229.70661799172643</v>
      </c>
      <c r="D126" s="651">
        <f t="shared" ca="1" si="23"/>
        <v>256.00498749273424</v>
      </c>
      <c r="E126" s="651">
        <f t="shared" ca="1" si="23"/>
        <v>190.25690749200956</v>
      </c>
      <c r="F126" s="651">
        <f t="shared" ca="1" si="23"/>
        <v>164.54975297826292</v>
      </c>
      <c r="G126" s="651">
        <f t="shared" ca="1" si="23"/>
        <v>133.78048592833395</v>
      </c>
      <c r="H126" s="651">
        <f t="shared" ca="1" si="23"/>
        <v>129.82572471234749</v>
      </c>
      <c r="I126" s="651">
        <f t="shared" ca="1" si="23"/>
        <v>129.26662293819297</v>
      </c>
      <c r="J126" s="651">
        <f t="shared" ca="1" si="23"/>
        <v>125.58907994662788</v>
      </c>
      <c r="K126" s="651">
        <f t="shared" ca="1" si="23"/>
        <v>119.79380871241072</v>
      </c>
      <c r="L126" s="651">
        <f t="shared" ca="1" si="23"/>
        <v>79.515752957626447</v>
      </c>
      <c r="M126" s="651">
        <f t="shared" ca="1" si="23"/>
        <v>78.213631955305189</v>
      </c>
      <c r="N126" s="651">
        <f t="shared" ca="1" si="23"/>
        <v>80.801838984801819</v>
      </c>
      <c r="O126" s="651">
        <f t="shared" ca="1" si="23"/>
        <v>73.953590964531912</v>
      </c>
      <c r="P126" s="651">
        <f t="shared" ca="1" si="23"/>
        <v>77.908231950381023</v>
      </c>
      <c r="Q126" s="651">
        <f t="shared" ca="1" si="23"/>
        <v>74.046158826939219</v>
      </c>
      <c r="R126" s="651">
        <f t="shared" ca="1" si="23"/>
        <v>72.28565857189551</v>
      </c>
      <c r="S126" s="651">
        <f t="shared" ca="1" si="23"/>
        <v>72.763160230592291</v>
      </c>
      <c r="T126" s="651">
        <f t="shared" ca="1" si="23"/>
        <v>69.103115208282915</v>
      </c>
      <c r="U126" s="651">
        <f t="shared" ca="1" si="23"/>
        <v>74.765691464425942</v>
      </c>
      <c r="V126" s="651">
        <f t="shared" ca="1" si="23"/>
        <v>73.128586183683495</v>
      </c>
      <c r="W126" s="651">
        <f t="shared" ca="1" si="23"/>
        <v>68.541364051768994</v>
      </c>
      <c r="X126" s="651">
        <f t="shared" ca="1" si="23"/>
        <v>73.683434867452419</v>
      </c>
      <c r="Y126" s="651">
        <f t="shared" ca="1" si="23"/>
        <v>67.821017276471352</v>
      </c>
      <c r="Z126" s="651">
        <f t="shared" ca="1" si="23"/>
        <v>72.234466215628998</v>
      </c>
      <c r="AA126" s="651">
        <f t="shared" ca="1" si="23"/>
        <v>71.820420109790078</v>
      </c>
      <c r="AB126" s="651">
        <f t="shared" ca="1" si="23"/>
        <v>67.548631149735769</v>
      </c>
      <c r="AC126" s="651">
        <f t="shared" ca="1" si="23"/>
        <v>71.662725155541253</v>
      </c>
      <c r="AD126" s="651">
        <f t="shared" ca="1" si="23"/>
        <v>67.953588016535349</v>
      </c>
      <c r="AE126" s="651">
        <f t="shared" ca="1" si="23"/>
        <v>69.950030915434638</v>
      </c>
      <c r="AF126" s="651">
        <f t="shared" ca="1" si="23"/>
        <v>59.42</v>
      </c>
      <c r="AG126" s="651">
        <f t="shared" ca="1" si="23"/>
        <v>59.42</v>
      </c>
      <c r="AH126" s="652">
        <f t="shared" ca="1" si="23"/>
        <v>59.42</v>
      </c>
      <c r="AI126" s="652">
        <f t="shared" ref="AI126:BB126" ca="1" si="24">AH126</f>
        <v>59.42</v>
      </c>
      <c r="AJ126" s="652">
        <f t="shared" ca="1" si="24"/>
        <v>59.42</v>
      </c>
      <c r="AK126" s="652">
        <f t="shared" ca="1" si="24"/>
        <v>59.42</v>
      </c>
      <c r="AL126" s="652">
        <f t="shared" ca="1" si="24"/>
        <v>59.42</v>
      </c>
      <c r="AM126" s="652">
        <f t="shared" ca="1" si="24"/>
        <v>59.42</v>
      </c>
      <c r="AN126" s="652">
        <f t="shared" ca="1" si="24"/>
        <v>59.42</v>
      </c>
      <c r="AO126" s="652">
        <f t="shared" ca="1" si="24"/>
        <v>59.42</v>
      </c>
      <c r="AP126" s="652">
        <f t="shared" ca="1" si="24"/>
        <v>59.42</v>
      </c>
      <c r="AQ126" s="652">
        <f t="shared" ca="1" si="24"/>
        <v>59.42</v>
      </c>
      <c r="AR126" s="652">
        <f t="shared" ca="1" si="24"/>
        <v>59.42</v>
      </c>
      <c r="AS126" s="652">
        <f t="shared" ca="1" si="24"/>
        <v>59.42</v>
      </c>
      <c r="AT126" s="652">
        <f t="shared" ca="1" si="24"/>
        <v>59.42</v>
      </c>
      <c r="AU126" s="652">
        <f t="shared" ca="1" si="24"/>
        <v>59.42</v>
      </c>
      <c r="AV126" s="652">
        <f t="shared" ca="1" si="24"/>
        <v>59.42</v>
      </c>
      <c r="AW126" s="652">
        <f t="shared" ca="1" si="24"/>
        <v>59.42</v>
      </c>
      <c r="AX126" s="652">
        <f t="shared" ca="1" si="24"/>
        <v>59.42</v>
      </c>
      <c r="AY126" s="652">
        <f t="shared" ca="1" si="24"/>
        <v>59.42</v>
      </c>
      <c r="AZ126" s="652">
        <f t="shared" ca="1" si="24"/>
        <v>59.42</v>
      </c>
      <c r="BA126" s="652">
        <f t="shared" ca="1" si="24"/>
        <v>59.42</v>
      </c>
      <c r="BB126" s="652">
        <f t="shared" ca="1" si="24"/>
        <v>59.42</v>
      </c>
      <c r="BC126" s="410"/>
    </row>
    <row r="127" spans="2:55" x14ac:dyDescent="0.3">
      <c r="AI127" s="410"/>
      <c r="AJ127" s="410"/>
      <c r="AK127" s="410"/>
      <c r="AL127" s="410"/>
      <c r="AM127" s="410"/>
      <c r="AN127" s="410"/>
      <c r="AO127" s="410"/>
      <c r="AP127" s="410"/>
      <c r="AQ127" s="410"/>
      <c r="AR127" s="410"/>
      <c r="AS127" s="410"/>
      <c r="AT127" s="410"/>
      <c r="AU127" s="410"/>
      <c r="AV127" s="410"/>
      <c r="AW127" s="410"/>
      <c r="AX127" s="410"/>
      <c r="AY127" s="410"/>
      <c r="AZ127" s="410"/>
      <c r="BA127" s="410"/>
      <c r="BB127" s="410"/>
      <c r="BC127" s="410"/>
    </row>
    <row r="128" spans="2:55" x14ac:dyDescent="0.3">
      <c r="B128" s="211" t="s">
        <v>481</v>
      </c>
      <c r="AI128" s="410"/>
      <c r="AJ128" s="410"/>
      <c r="AK128" s="410"/>
      <c r="AL128" s="410"/>
      <c r="AM128" s="410"/>
      <c r="AN128" s="410"/>
      <c r="AO128" s="410"/>
      <c r="AP128" s="410"/>
      <c r="AQ128" s="410"/>
      <c r="AR128" s="410"/>
      <c r="AS128" s="410"/>
      <c r="AT128" s="410"/>
      <c r="AU128" s="410"/>
      <c r="AV128" s="410"/>
      <c r="AW128" s="410"/>
      <c r="AX128" s="410"/>
      <c r="AY128" s="410"/>
      <c r="AZ128" s="410"/>
      <c r="BA128" s="410"/>
      <c r="BB128" s="410"/>
      <c r="BC128" s="410"/>
    </row>
    <row r="129" spans="2:55" x14ac:dyDescent="0.3">
      <c r="C129" s="155">
        <v>2021</v>
      </c>
      <c r="D129" s="156">
        <v>2022</v>
      </c>
      <c r="E129" s="156">
        <v>2023</v>
      </c>
      <c r="F129" s="156">
        <v>2024</v>
      </c>
      <c r="G129" s="156">
        <v>2025</v>
      </c>
      <c r="H129" s="156">
        <v>2026</v>
      </c>
      <c r="I129" s="156">
        <v>2027</v>
      </c>
      <c r="J129" s="156">
        <v>2028</v>
      </c>
      <c r="K129" s="156">
        <v>2029</v>
      </c>
      <c r="L129" s="156">
        <v>2030</v>
      </c>
      <c r="M129" s="156">
        <v>2031</v>
      </c>
      <c r="N129" s="156">
        <v>2032</v>
      </c>
      <c r="O129" s="156">
        <v>2033</v>
      </c>
      <c r="P129" s="156">
        <v>2034</v>
      </c>
      <c r="Q129" s="156">
        <v>2035</v>
      </c>
      <c r="R129" s="156">
        <v>2036</v>
      </c>
      <c r="S129" s="156">
        <v>2037</v>
      </c>
      <c r="T129" s="156">
        <v>2038</v>
      </c>
      <c r="U129" s="156">
        <v>2039</v>
      </c>
      <c r="V129" s="156">
        <v>2040</v>
      </c>
      <c r="W129" s="156">
        <v>2041</v>
      </c>
      <c r="X129" s="156">
        <v>2042</v>
      </c>
      <c r="Y129" s="156">
        <v>2043</v>
      </c>
      <c r="Z129" s="156">
        <v>2044</v>
      </c>
      <c r="AA129" s="156">
        <v>2045</v>
      </c>
      <c r="AB129" s="156">
        <v>2046</v>
      </c>
      <c r="AC129" s="156">
        <v>2047</v>
      </c>
      <c r="AD129" s="156">
        <v>2048</v>
      </c>
      <c r="AE129" s="156">
        <v>2049</v>
      </c>
      <c r="AF129" s="157">
        <v>2050</v>
      </c>
      <c r="AG129" s="157">
        <v>2051</v>
      </c>
      <c r="AH129" s="157">
        <v>2052</v>
      </c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647"/>
      <c r="BB129" s="647"/>
      <c r="BC129" s="410"/>
    </row>
    <row r="130" spans="2:55" x14ac:dyDescent="0.3">
      <c r="B130" s="28" t="s">
        <v>488</v>
      </c>
      <c r="C130" s="639">
        <f ca="1">NPV(real_discount_rate,OFFSET(C126,0,0,1,lifetime))</f>
        <v>1569.7355735388828</v>
      </c>
      <c r="D130" s="640">
        <f t="shared" ref="D130:AH130" ca="1" si="25">NPV(real_discount_rate,OFFSET(D126,0,0,1,lifetime))</f>
        <v>1448.9033634773139</v>
      </c>
      <c r="E130" s="640">
        <f t="shared" ca="1" si="25"/>
        <v>1297.0206452525138</v>
      </c>
      <c r="F130" s="640">
        <f t="shared" ca="1" si="25"/>
        <v>1200.6196489782942</v>
      </c>
      <c r="G130" s="640">
        <f t="shared" ca="1" si="25"/>
        <v>1126.2428503547394</v>
      </c>
      <c r="H130" s="640">
        <f t="shared" ca="1" si="25"/>
        <v>1078.4635800415494</v>
      </c>
      <c r="I130" s="640">
        <f t="shared" ca="1" si="25"/>
        <v>1030.563958921525</v>
      </c>
      <c r="J130" s="640">
        <f t="shared" ca="1" si="25"/>
        <v>982.06258376732978</v>
      </c>
      <c r="K130" s="640">
        <f t="shared" ca="1" si="25"/>
        <v>933.32050699946626</v>
      </c>
      <c r="L130" s="640">
        <f t="shared" ca="1" si="25"/>
        <v>888.42965605029769</v>
      </c>
      <c r="M130" s="640">
        <f t="shared" ca="1" si="25"/>
        <v>877.71843424205088</v>
      </c>
      <c r="N130" s="640">
        <f t="shared" ca="1" si="25"/>
        <v>867.72931727480977</v>
      </c>
      <c r="O130" s="640">
        <f t="shared" ca="1" si="25"/>
        <v>854.61107932987829</v>
      </c>
      <c r="P130" s="640">
        <f t="shared" ca="1" si="25"/>
        <v>847.6307325334933</v>
      </c>
      <c r="Q130" s="640">
        <f t="shared" ca="1" si="25"/>
        <v>836.31775669107572</v>
      </c>
      <c r="R130" s="640">
        <f t="shared" ca="1" si="25"/>
        <v>828.25425263318175</v>
      </c>
      <c r="S130" s="640">
        <f t="shared" ca="1" si="25"/>
        <v>821.51460745046495</v>
      </c>
      <c r="T130" s="640">
        <f t="shared" ca="1" si="25"/>
        <v>813.93250661990851</v>
      </c>
      <c r="U130" s="640">
        <f t="shared" ca="1" si="25"/>
        <v>809.59987757387614</v>
      </c>
      <c r="V130" s="640">
        <f t="shared" ca="1" si="25"/>
        <v>799.37005899296628</v>
      </c>
      <c r="W130" s="640">
        <f t="shared" ca="1" si="25"/>
        <v>790.22339767356459</v>
      </c>
      <c r="X130" s="640">
        <f t="shared" ca="1" si="25"/>
        <v>785.16866378652685</v>
      </c>
      <c r="Y130" s="640">
        <f t="shared" ca="1" si="25"/>
        <v>774.69814359194879</v>
      </c>
      <c r="Z130" s="640">
        <f t="shared" ca="1" si="25"/>
        <v>769.5230588980769</v>
      </c>
      <c r="AA130" s="640">
        <f t="shared" ca="1" si="25"/>
        <v>759.65429273766983</v>
      </c>
      <c r="AB130" s="640">
        <f t="shared" ca="1" si="25"/>
        <v>749.66517577042873</v>
      </c>
      <c r="AC130" s="640">
        <f t="shared" ca="1" si="25"/>
        <v>743.40693381504855</v>
      </c>
      <c r="AD130" s="640">
        <f t="shared" ca="1" si="25"/>
        <v>732.69571200680184</v>
      </c>
      <c r="AE130" s="640">
        <f t="shared" ca="1" si="25"/>
        <v>725.1136111762454</v>
      </c>
      <c r="AF130" s="640">
        <f t="shared" ca="1" si="25"/>
        <v>715.12449420900418</v>
      </c>
      <c r="AG130" s="640">
        <f t="shared" ca="1" si="25"/>
        <v>715.12449420900418</v>
      </c>
      <c r="AH130" s="641">
        <f t="shared" ca="1" si="25"/>
        <v>715.12449420900418</v>
      </c>
      <c r="AI130" s="646"/>
      <c r="AJ130" s="646"/>
      <c r="AK130" s="646"/>
      <c r="AL130" s="646"/>
      <c r="AM130" s="646"/>
      <c r="AN130" s="646"/>
      <c r="AO130" s="646"/>
      <c r="AP130" s="646"/>
      <c r="AQ130" s="646"/>
      <c r="AR130" s="646"/>
      <c r="AS130" s="646"/>
      <c r="AT130" s="646"/>
      <c r="AU130" s="646"/>
      <c r="AV130" s="646"/>
      <c r="AW130" s="646"/>
      <c r="AX130" s="646"/>
      <c r="AY130" s="646"/>
      <c r="AZ130" s="646"/>
      <c r="BA130" s="646"/>
      <c r="BB130" s="646"/>
      <c r="BC130" s="410"/>
    </row>
    <row r="131" spans="2:55" x14ac:dyDescent="0.3">
      <c r="B131" s="28" t="s">
        <v>470</v>
      </c>
      <c r="C131" s="642">
        <f ca="1">NPV(real_discount_rate,OFFSET(C55,C$93-$C$93,0,1,lifetime))</f>
        <v>1569.7355735388828</v>
      </c>
      <c r="D131" s="643">
        <f t="shared" ref="D131:AH131" ca="1" si="26">NPV(real_discount_rate,OFFSET(D55,D$93-$C$93,0,1,lifetime))</f>
        <v>1448.9033634773148</v>
      </c>
      <c r="E131" s="643">
        <f t="shared" ca="1" si="26"/>
        <v>1297.020645252514</v>
      </c>
      <c r="F131" s="643">
        <f t="shared" ca="1" si="26"/>
        <v>1200.6196489782942</v>
      </c>
      <c r="G131" s="643">
        <f t="shared" ca="1" si="26"/>
        <v>1126.2428503547396</v>
      </c>
      <c r="H131" s="643">
        <f t="shared" ca="1" si="26"/>
        <v>1078.4635800415494</v>
      </c>
      <c r="I131" s="643">
        <f t="shared" ca="1" si="26"/>
        <v>1030.5639589215252</v>
      </c>
      <c r="J131" s="643">
        <f t="shared" ca="1" si="26"/>
        <v>982.06258376733012</v>
      </c>
      <c r="K131" s="643">
        <f t="shared" ca="1" si="26"/>
        <v>933.32050699946603</v>
      </c>
      <c r="L131" s="643">
        <f t="shared" ca="1" si="26"/>
        <v>888.42965605029735</v>
      </c>
      <c r="M131" s="643">
        <f t="shared" ca="1" si="26"/>
        <v>877.71843424205099</v>
      </c>
      <c r="N131" s="643">
        <f t="shared" ca="1" si="26"/>
        <v>867.72931727480955</v>
      </c>
      <c r="O131" s="643">
        <f t="shared" ca="1" si="26"/>
        <v>854.61107932987852</v>
      </c>
      <c r="P131" s="643">
        <f t="shared" ca="1" si="26"/>
        <v>847.6307325334933</v>
      </c>
      <c r="Q131" s="643">
        <f t="shared" ca="1" si="26"/>
        <v>836.3177566910756</v>
      </c>
      <c r="R131" s="643">
        <f t="shared" ca="1" si="26"/>
        <v>828.25425263318186</v>
      </c>
      <c r="S131" s="643">
        <f t="shared" ca="1" si="26"/>
        <v>821.51460745046461</v>
      </c>
      <c r="T131" s="643">
        <f t="shared" ca="1" si="26"/>
        <v>813.93250661990851</v>
      </c>
      <c r="U131" s="643">
        <f t="shared" ca="1" si="26"/>
        <v>809.59987757387626</v>
      </c>
      <c r="V131" s="643">
        <f t="shared" ca="1" si="26"/>
        <v>799.37005899296628</v>
      </c>
      <c r="W131" s="643">
        <f t="shared" ca="1" si="26"/>
        <v>790.22339767356459</v>
      </c>
      <c r="X131" s="643">
        <f t="shared" ca="1" si="26"/>
        <v>785.16866378652708</v>
      </c>
      <c r="Y131" s="643">
        <f t="shared" ca="1" si="26"/>
        <v>774.69814359194868</v>
      </c>
      <c r="Z131" s="643">
        <f t="shared" ca="1" si="26"/>
        <v>769.52305889807667</v>
      </c>
      <c r="AA131" s="643">
        <f t="shared" ca="1" si="26"/>
        <v>759.65429273766983</v>
      </c>
      <c r="AB131" s="643">
        <f t="shared" ca="1" si="26"/>
        <v>749.66517577042873</v>
      </c>
      <c r="AC131" s="643">
        <f t="shared" ca="1" si="26"/>
        <v>743.40693381504866</v>
      </c>
      <c r="AD131" s="643">
        <f t="shared" ca="1" si="26"/>
        <v>732.69571200680173</v>
      </c>
      <c r="AE131" s="643">
        <f t="shared" ca="1" si="26"/>
        <v>725.1136111762454</v>
      </c>
      <c r="AF131" s="643">
        <f t="shared" ca="1" si="26"/>
        <v>715.12449420900418</v>
      </c>
      <c r="AG131" s="643">
        <f t="shared" ca="1" si="26"/>
        <v>715.12449420900418</v>
      </c>
      <c r="AH131" s="644">
        <f t="shared" ca="1" si="26"/>
        <v>715.12449420900418</v>
      </c>
      <c r="AI131" s="646"/>
      <c r="AJ131" s="646"/>
      <c r="AK131" s="646"/>
      <c r="AL131" s="646"/>
      <c r="AM131" s="646"/>
      <c r="AN131" s="646"/>
      <c r="AO131" s="646"/>
      <c r="AP131" s="646"/>
      <c r="AQ131" s="646"/>
      <c r="AR131" s="646"/>
      <c r="AS131" s="646"/>
      <c r="AT131" s="646"/>
      <c r="AU131" s="646"/>
      <c r="AV131" s="646"/>
      <c r="AW131" s="646"/>
      <c r="AX131" s="646"/>
      <c r="AY131" s="646"/>
      <c r="AZ131" s="646"/>
      <c r="BA131" s="646"/>
      <c r="BB131" s="646"/>
      <c r="BC131" s="410"/>
    </row>
    <row r="132" spans="2:55" x14ac:dyDescent="0.3"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</row>
    <row r="133" spans="2:55" ht="21" x14ac:dyDescent="0.4">
      <c r="B133" s="636" t="s">
        <v>486</v>
      </c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</row>
    <row r="134" spans="2:55" x14ac:dyDescent="0.3">
      <c r="B134" s="211" t="s">
        <v>484</v>
      </c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</row>
    <row r="135" spans="2:55" x14ac:dyDescent="0.3">
      <c r="B135" s="211" t="s">
        <v>485</v>
      </c>
      <c r="AI135" s="410"/>
      <c r="AJ135" s="410"/>
      <c r="AK135" s="410"/>
      <c r="AL135" s="410"/>
      <c r="AM135" s="410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</row>
    <row r="136" spans="2:55" x14ac:dyDescent="0.3">
      <c r="C136" s="155">
        <v>2021</v>
      </c>
      <c r="D136" s="156">
        <v>2022</v>
      </c>
      <c r="E136" s="156">
        <v>2023</v>
      </c>
      <c r="F136" s="156">
        <v>2024</v>
      </c>
      <c r="G136" s="156">
        <v>2025</v>
      </c>
      <c r="H136" s="156">
        <v>2026</v>
      </c>
      <c r="I136" s="156">
        <v>2027</v>
      </c>
      <c r="J136" s="156">
        <v>2028</v>
      </c>
      <c r="K136" s="156">
        <v>2029</v>
      </c>
      <c r="L136" s="156">
        <v>2030</v>
      </c>
      <c r="M136" s="156">
        <v>2031</v>
      </c>
      <c r="N136" s="156">
        <v>2032</v>
      </c>
      <c r="O136" s="156">
        <v>2033</v>
      </c>
      <c r="P136" s="156">
        <v>2034</v>
      </c>
      <c r="Q136" s="156">
        <v>2035</v>
      </c>
      <c r="R136" s="156">
        <v>2036</v>
      </c>
      <c r="S136" s="156">
        <v>2037</v>
      </c>
      <c r="T136" s="156">
        <v>2038</v>
      </c>
      <c r="U136" s="156">
        <v>2039</v>
      </c>
      <c r="V136" s="156">
        <v>2040</v>
      </c>
      <c r="W136" s="156">
        <v>2041</v>
      </c>
      <c r="X136" s="156">
        <v>2042</v>
      </c>
      <c r="Y136" s="156">
        <v>2043</v>
      </c>
      <c r="Z136" s="156">
        <v>2044</v>
      </c>
      <c r="AA136" s="156">
        <v>2045</v>
      </c>
      <c r="AB136" s="156">
        <v>2046</v>
      </c>
      <c r="AC136" s="156">
        <v>2047</v>
      </c>
      <c r="AD136" s="156">
        <v>2048</v>
      </c>
      <c r="AE136" s="156">
        <v>2049</v>
      </c>
      <c r="AF136" s="157">
        <v>2050</v>
      </c>
      <c r="AG136" s="157">
        <v>2051</v>
      </c>
      <c r="AH136" s="157">
        <v>2052</v>
      </c>
      <c r="AI136" s="647"/>
      <c r="AJ136" s="647"/>
      <c r="AK136" s="647"/>
      <c r="AL136" s="647"/>
      <c r="AM136" s="647"/>
      <c r="AN136" s="647"/>
      <c r="AO136" s="647"/>
      <c r="AP136" s="647"/>
      <c r="AQ136" s="647"/>
      <c r="AR136" s="647"/>
      <c r="AS136" s="647"/>
      <c r="AT136" s="647"/>
      <c r="AU136" s="647"/>
      <c r="AV136" s="647"/>
      <c r="AW136" s="647"/>
      <c r="AX136" s="647"/>
      <c r="AY136" s="647"/>
      <c r="AZ136" s="647"/>
      <c r="BA136" s="647"/>
      <c r="BB136" s="647"/>
      <c r="BC136" s="410"/>
    </row>
    <row r="137" spans="2:55" x14ac:dyDescent="0.3">
      <c r="B137" s="634" t="s">
        <v>495</v>
      </c>
      <c r="C137" s="639">
        <f t="shared" ref="C137:AH137" ca="1" si="27">C126</f>
        <v>229.70661799172643</v>
      </c>
      <c r="D137" s="640">
        <f t="shared" ca="1" si="27"/>
        <v>256.00498749273424</v>
      </c>
      <c r="E137" s="640">
        <f t="shared" ca="1" si="27"/>
        <v>190.25690749200956</v>
      </c>
      <c r="F137" s="640">
        <f t="shared" ca="1" si="27"/>
        <v>164.54975297826292</v>
      </c>
      <c r="G137" s="640">
        <f t="shared" ca="1" si="27"/>
        <v>133.78048592833395</v>
      </c>
      <c r="H137" s="640">
        <f t="shared" ca="1" si="27"/>
        <v>129.82572471234749</v>
      </c>
      <c r="I137" s="640">
        <f t="shared" ca="1" si="27"/>
        <v>129.26662293819297</v>
      </c>
      <c r="J137" s="640">
        <f t="shared" ca="1" si="27"/>
        <v>125.58907994662788</v>
      </c>
      <c r="K137" s="640">
        <f t="shared" ca="1" si="27"/>
        <v>119.79380871241072</v>
      </c>
      <c r="L137" s="640">
        <f t="shared" ca="1" si="27"/>
        <v>79.515752957626447</v>
      </c>
      <c r="M137" s="640">
        <f t="shared" ca="1" si="27"/>
        <v>78.213631955305189</v>
      </c>
      <c r="N137" s="640">
        <f t="shared" ca="1" si="27"/>
        <v>80.801838984801819</v>
      </c>
      <c r="O137" s="640">
        <f t="shared" ca="1" si="27"/>
        <v>73.953590964531912</v>
      </c>
      <c r="P137" s="640">
        <f t="shared" ca="1" si="27"/>
        <v>77.908231950381023</v>
      </c>
      <c r="Q137" s="640">
        <f t="shared" ca="1" si="27"/>
        <v>74.046158826939219</v>
      </c>
      <c r="R137" s="640">
        <f t="shared" ca="1" si="27"/>
        <v>72.28565857189551</v>
      </c>
      <c r="S137" s="640">
        <f t="shared" ca="1" si="27"/>
        <v>72.763160230592291</v>
      </c>
      <c r="T137" s="640">
        <f t="shared" ca="1" si="27"/>
        <v>69.103115208282915</v>
      </c>
      <c r="U137" s="640">
        <f t="shared" ca="1" si="27"/>
        <v>74.765691464425942</v>
      </c>
      <c r="V137" s="640">
        <f t="shared" ca="1" si="27"/>
        <v>73.128586183683495</v>
      </c>
      <c r="W137" s="640">
        <f t="shared" ca="1" si="27"/>
        <v>68.541364051768994</v>
      </c>
      <c r="X137" s="640">
        <f t="shared" ca="1" si="27"/>
        <v>73.683434867452419</v>
      </c>
      <c r="Y137" s="640">
        <f t="shared" ca="1" si="27"/>
        <v>67.821017276471352</v>
      </c>
      <c r="Z137" s="640">
        <f t="shared" ca="1" si="27"/>
        <v>72.234466215628998</v>
      </c>
      <c r="AA137" s="640">
        <f t="shared" ca="1" si="27"/>
        <v>71.820420109790078</v>
      </c>
      <c r="AB137" s="640">
        <f t="shared" ca="1" si="27"/>
        <v>67.548631149735769</v>
      </c>
      <c r="AC137" s="640">
        <f t="shared" ca="1" si="27"/>
        <v>71.662725155541253</v>
      </c>
      <c r="AD137" s="640">
        <f t="shared" ca="1" si="27"/>
        <v>67.953588016535349</v>
      </c>
      <c r="AE137" s="640">
        <f t="shared" ca="1" si="27"/>
        <v>69.950030915434638</v>
      </c>
      <c r="AF137" s="640">
        <f t="shared" ca="1" si="27"/>
        <v>59.42</v>
      </c>
      <c r="AG137" s="640">
        <f t="shared" ca="1" si="27"/>
        <v>59.42</v>
      </c>
      <c r="AH137" s="641">
        <f t="shared" ca="1" si="27"/>
        <v>59.42</v>
      </c>
      <c r="AI137" s="410"/>
      <c r="AJ137" s="410"/>
      <c r="AK137" s="410"/>
      <c r="AL137" s="410"/>
      <c r="AM137" s="410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410"/>
      <c r="AZ137" s="410"/>
      <c r="BA137" s="410"/>
      <c r="BB137" s="410"/>
      <c r="BC137" s="410"/>
    </row>
    <row r="138" spans="2:55" x14ac:dyDescent="0.3">
      <c r="B138" s="634" t="s">
        <v>471</v>
      </c>
      <c r="C138" s="633">
        <f t="shared" ref="C138:AH138" si="28">C28</f>
        <v>99.581627584446423</v>
      </c>
      <c r="D138" s="632">
        <f t="shared" si="28"/>
        <v>41.387700442104013</v>
      </c>
      <c r="E138" s="632">
        <f t="shared" si="28"/>
        <v>43.398108667596475</v>
      </c>
      <c r="F138" s="632">
        <f t="shared" si="28"/>
        <v>28.391591664991463</v>
      </c>
      <c r="G138" s="632">
        <f t="shared" si="28"/>
        <v>29.329132423394277</v>
      </c>
      <c r="H138" s="632">
        <f t="shared" si="28"/>
        <v>27.893249236451943</v>
      </c>
      <c r="I138" s="632">
        <f t="shared" si="28"/>
        <v>27.672558800139292</v>
      </c>
      <c r="J138" s="632">
        <f t="shared" si="28"/>
        <v>24.957664639041131</v>
      </c>
      <c r="K138" s="632">
        <f t="shared" si="28"/>
        <v>23.855197016696842</v>
      </c>
      <c r="L138" s="632">
        <f t="shared" si="28"/>
        <v>36.31430042559689</v>
      </c>
      <c r="M138" s="632">
        <f t="shared" si="28"/>
        <v>34.651068908374327</v>
      </c>
      <c r="N138" s="632">
        <f t="shared" si="28"/>
        <v>36.904959560458877</v>
      </c>
      <c r="O138" s="632">
        <f t="shared" si="28"/>
        <v>37.96999240800389</v>
      </c>
      <c r="P138" s="632">
        <f t="shared" si="28"/>
        <v>40.140966703903679</v>
      </c>
      <c r="Q138" s="632">
        <f t="shared" si="28"/>
        <v>43.578667675248944</v>
      </c>
      <c r="R138" s="632">
        <f t="shared" si="28"/>
        <v>44.954608733436068</v>
      </c>
      <c r="S138" s="632">
        <f t="shared" si="28"/>
        <v>46.896754622466595</v>
      </c>
      <c r="T138" s="632">
        <f t="shared" si="28"/>
        <v>49.254498718310593</v>
      </c>
      <c r="U138" s="632">
        <f t="shared" si="28"/>
        <v>52.171042090008406</v>
      </c>
      <c r="V138" s="632">
        <f t="shared" si="28"/>
        <v>55.748144452274296</v>
      </c>
      <c r="W138" s="632">
        <f t="shared" si="28"/>
        <v>55.303360004018806</v>
      </c>
      <c r="X138" s="632">
        <f t="shared" si="28"/>
        <v>55.485264809060148</v>
      </c>
      <c r="Y138" s="632">
        <f t="shared" si="28"/>
        <v>56.008393518757593</v>
      </c>
      <c r="Z138" s="632">
        <f t="shared" si="28"/>
        <v>57.052717221156335</v>
      </c>
      <c r="AA138" s="632">
        <f t="shared" si="28"/>
        <v>59.349395648273706</v>
      </c>
      <c r="AB138" s="632">
        <f t="shared" si="28"/>
        <v>60.430184533829262</v>
      </c>
      <c r="AC138" s="632">
        <f t="shared" si="28"/>
        <v>61.563152647266925</v>
      </c>
      <c r="AD138" s="632">
        <f t="shared" si="28"/>
        <v>62.747179588007462</v>
      </c>
      <c r="AE138" s="632">
        <f t="shared" si="28"/>
        <v>63.992703479017131</v>
      </c>
      <c r="AF138" s="632">
        <f t="shared" si="28"/>
        <v>65.294044178125347</v>
      </c>
      <c r="AG138" s="632">
        <f t="shared" si="28"/>
        <v>65.804524517409902</v>
      </c>
      <c r="AH138" s="645">
        <f t="shared" si="28"/>
        <v>66.865617847302772</v>
      </c>
      <c r="AI138" s="410"/>
      <c r="AJ138" s="410"/>
      <c r="AK138" s="410"/>
      <c r="AL138" s="410"/>
      <c r="AM138" s="410"/>
      <c r="AN138" s="410"/>
      <c r="AO138" s="410"/>
      <c r="AP138" s="410"/>
      <c r="AQ138" s="410"/>
      <c r="AR138" s="410"/>
      <c r="AS138" s="410"/>
      <c r="AT138" s="410"/>
      <c r="AU138" s="410"/>
      <c r="AV138" s="410"/>
      <c r="AW138" s="410"/>
      <c r="AX138" s="410"/>
      <c r="AY138" s="410"/>
      <c r="AZ138" s="410"/>
      <c r="BA138" s="410"/>
      <c r="BB138" s="410"/>
      <c r="BC138" s="410"/>
    </row>
    <row r="139" spans="2:55" x14ac:dyDescent="0.3">
      <c r="B139" s="634" t="s">
        <v>496</v>
      </c>
      <c r="C139" s="642">
        <f ca="1">C137-C138</f>
        <v>130.12499040727999</v>
      </c>
      <c r="D139" s="643">
        <f t="shared" ref="D139:AH139" ca="1" si="29">D137-D138</f>
        <v>214.61728705063024</v>
      </c>
      <c r="E139" s="643">
        <f t="shared" ca="1" si="29"/>
        <v>146.8587988244131</v>
      </c>
      <c r="F139" s="643">
        <f t="shared" ca="1" si="29"/>
        <v>136.15816131327145</v>
      </c>
      <c r="G139" s="643">
        <f t="shared" ca="1" si="29"/>
        <v>104.45135350493968</v>
      </c>
      <c r="H139" s="643">
        <f t="shared" ca="1" si="29"/>
        <v>101.93247547589556</v>
      </c>
      <c r="I139" s="643">
        <f t="shared" ca="1" si="29"/>
        <v>101.59406413805368</v>
      </c>
      <c r="J139" s="643">
        <f t="shared" ca="1" si="29"/>
        <v>100.63141530758675</v>
      </c>
      <c r="K139" s="643">
        <f t="shared" ca="1" si="29"/>
        <v>95.938611695713888</v>
      </c>
      <c r="L139" s="643">
        <f t="shared" ca="1" si="29"/>
        <v>43.201452532029556</v>
      </c>
      <c r="M139" s="643">
        <f t="shared" ca="1" si="29"/>
        <v>43.562563046930862</v>
      </c>
      <c r="N139" s="643">
        <f t="shared" ca="1" si="29"/>
        <v>43.896879424342941</v>
      </c>
      <c r="O139" s="643">
        <f t="shared" ca="1" si="29"/>
        <v>35.983598556528023</v>
      </c>
      <c r="P139" s="643">
        <f t="shared" ca="1" si="29"/>
        <v>37.767265246477344</v>
      </c>
      <c r="Q139" s="643">
        <f t="shared" ca="1" si="29"/>
        <v>30.467491151690275</v>
      </c>
      <c r="R139" s="643">
        <f t="shared" ca="1" si="29"/>
        <v>27.331049838459442</v>
      </c>
      <c r="S139" s="643">
        <f t="shared" ca="1" si="29"/>
        <v>25.866405608125696</v>
      </c>
      <c r="T139" s="643">
        <f t="shared" ca="1" si="29"/>
        <v>19.848616489972322</v>
      </c>
      <c r="U139" s="643">
        <f t="shared" ca="1" si="29"/>
        <v>22.594649374417536</v>
      </c>
      <c r="V139" s="643">
        <f t="shared" ca="1" si="29"/>
        <v>17.380441731409199</v>
      </c>
      <c r="W139" s="643">
        <f t="shared" ca="1" si="29"/>
        <v>13.238004047750188</v>
      </c>
      <c r="X139" s="643">
        <f t="shared" ca="1" si="29"/>
        <v>18.198170058392272</v>
      </c>
      <c r="Y139" s="643">
        <f t="shared" ca="1" si="29"/>
        <v>11.812623757713759</v>
      </c>
      <c r="Z139" s="643">
        <f t="shared" ca="1" si="29"/>
        <v>15.181748994472663</v>
      </c>
      <c r="AA139" s="643">
        <f t="shared" ca="1" si="29"/>
        <v>12.471024461516372</v>
      </c>
      <c r="AB139" s="643">
        <f t="shared" ca="1" si="29"/>
        <v>7.1184466159065067</v>
      </c>
      <c r="AC139" s="643">
        <f t="shared" ca="1" si="29"/>
        <v>10.099572508274328</v>
      </c>
      <c r="AD139" s="643">
        <f t="shared" ca="1" si="29"/>
        <v>5.2064084285278867</v>
      </c>
      <c r="AE139" s="643">
        <f t="shared" ca="1" si="29"/>
        <v>5.9573274364175077</v>
      </c>
      <c r="AF139" s="643">
        <f t="shared" ca="1" si="29"/>
        <v>-5.8740441781253452</v>
      </c>
      <c r="AG139" s="643">
        <f t="shared" ca="1" si="29"/>
        <v>-6.3845245174099006</v>
      </c>
      <c r="AH139" s="644">
        <f t="shared" ca="1" si="29"/>
        <v>-7.4456178473027705</v>
      </c>
      <c r="AI139" s="410"/>
      <c r="AJ139" s="410"/>
      <c r="AK139" s="410"/>
      <c r="AL139" s="410"/>
      <c r="AM139" s="410"/>
      <c r="AN139" s="410"/>
      <c r="AO139" s="410"/>
      <c r="AP139" s="410"/>
      <c r="AQ139" s="410"/>
      <c r="AR139" s="410"/>
      <c r="AS139" s="410"/>
      <c r="AT139" s="410"/>
      <c r="AU139" s="410"/>
      <c r="AV139" s="410"/>
      <c r="AW139" s="410"/>
      <c r="AX139" s="410"/>
      <c r="AY139" s="410"/>
      <c r="AZ139" s="410"/>
      <c r="BA139" s="410"/>
      <c r="BB139" s="410"/>
      <c r="BC139" s="410"/>
    </row>
    <row r="140" spans="2:55" x14ac:dyDescent="0.3">
      <c r="B140" s="634"/>
      <c r="C140" s="635"/>
      <c r="D140" s="635"/>
      <c r="E140" s="635"/>
      <c r="F140" s="635"/>
      <c r="G140" s="635"/>
      <c r="H140" s="635"/>
      <c r="I140" s="635"/>
      <c r="J140" s="635"/>
      <c r="K140" s="635"/>
      <c r="L140" s="635"/>
      <c r="M140" s="635"/>
      <c r="N140" s="635"/>
      <c r="O140" s="635"/>
      <c r="P140" s="635"/>
      <c r="Q140" s="635"/>
      <c r="R140" s="635"/>
      <c r="S140" s="635"/>
      <c r="T140" s="635"/>
      <c r="U140" s="635"/>
      <c r="V140" s="635"/>
      <c r="W140" s="635"/>
      <c r="X140" s="635"/>
      <c r="Y140" s="635"/>
      <c r="Z140" s="635"/>
      <c r="AA140" s="635"/>
      <c r="AB140" s="635"/>
      <c r="AC140" s="635"/>
      <c r="AD140" s="635"/>
      <c r="AE140" s="635"/>
      <c r="AF140" s="635"/>
      <c r="AG140" s="635"/>
      <c r="AH140" s="635"/>
      <c r="AI140" s="410"/>
      <c r="AJ140" s="410"/>
      <c r="AK140" s="410"/>
      <c r="AL140" s="410"/>
      <c r="AM140" s="410"/>
      <c r="AN140" s="410"/>
      <c r="AO140" s="410"/>
      <c r="AP140" s="410"/>
      <c r="AQ140" s="410"/>
      <c r="AR140" s="410"/>
      <c r="AS140" s="410"/>
      <c r="AT140" s="410"/>
      <c r="AU140" s="410"/>
      <c r="AV140" s="410"/>
      <c r="AW140" s="410"/>
      <c r="AX140" s="410"/>
      <c r="AY140" s="410"/>
      <c r="AZ140" s="410"/>
      <c r="BA140" s="410"/>
      <c r="BB140" s="410"/>
      <c r="BC140" s="410"/>
    </row>
    <row r="141" spans="2:55" ht="21" x14ac:dyDescent="0.4">
      <c r="B141" s="636" t="s">
        <v>487</v>
      </c>
      <c r="AI141" s="410"/>
      <c r="AJ141" s="410"/>
      <c r="AK141" s="410"/>
      <c r="AL141" s="410"/>
      <c r="AM141" s="410"/>
      <c r="AN141" s="410"/>
      <c r="AO141" s="410"/>
      <c r="AP141" s="410"/>
      <c r="AQ141" s="410"/>
      <c r="AR141" s="410"/>
      <c r="AS141" s="410"/>
      <c r="AT141" s="410"/>
      <c r="AU141" s="410"/>
      <c r="AV141" s="410"/>
      <c r="AW141" s="410"/>
      <c r="AX141" s="410"/>
      <c r="AY141" s="410"/>
      <c r="AZ141" s="410"/>
      <c r="BA141" s="410"/>
      <c r="BB141" s="410"/>
      <c r="BC141" s="410"/>
    </row>
    <row r="142" spans="2:55" x14ac:dyDescent="0.3">
      <c r="B142" s="211" t="s">
        <v>502</v>
      </c>
      <c r="AI142" s="410"/>
      <c r="AJ142" s="410"/>
      <c r="AK142" s="410"/>
      <c r="AL142" s="410"/>
      <c r="AM142" s="410"/>
      <c r="AN142" s="410"/>
      <c r="AO142" s="410"/>
      <c r="AP142" s="410"/>
      <c r="AQ142" s="410"/>
      <c r="AR142" s="410"/>
      <c r="AS142" s="410"/>
      <c r="AT142" s="410"/>
      <c r="AU142" s="410"/>
      <c r="AV142" s="410"/>
      <c r="AW142" s="410"/>
      <c r="AX142" s="410"/>
      <c r="AY142" s="410"/>
      <c r="AZ142" s="410"/>
      <c r="BA142" s="410"/>
      <c r="BB142" s="410"/>
      <c r="BC142" s="410"/>
    </row>
    <row r="143" spans="2:55" x14ac:dyDescent="0.3">
      <c r="B143" s="211" t="s">
        <v>501</v>
      </c>
      <c r="AI143" s="410"/>
      <c r="AJ143" s="410"/>
      <c r="AK143" s="410"/>
      <c r="AL143" s="410"/>
      <c r="AM143" s="410"/>
      <c r="AN143" s="410"/>
      <c r="AO143" s="410"/>
      <c r="AP143" s="410"/>
      <c r="AQ143" s="410"/>
      <c r="AR143" s="410"/>
      <c r="AS143" s="410"/>
      <c r="AT143" s="410"/>
      <c r="AU143" s="410"/>
      <c r="AV143" s="410"/>
      <c r="AW143" s="410"/>
      <c r="AX143" s="410"/>
      <c r="AY143" s="410"/>
      <c r="AZ143" s="410"/>
      <c r="BA143" s="410"/>
      <c r="BB143" s="410"/>
      <c r="BC143" s="410"/>
    </row>
    <row r="144" spans="2:55" x14ac:dyDescent="0.3">
      <c r="C144" s="155">
        <v>2021</v>
      </c>
      <c r="D144" s="156">
        <v>2022</v>
      </c>
      <c r="E144" s="156">
        <v>2023</v>
      </c>
      <c r="F144" s="156">
        <v>2024</v>
      </c>
      <c r="G144" s="156">
        <v>2025</v>
      </c>
      <c r="H144" s="156">
        <v>2026</v>
      </c>
      <c r="I144" s="156">
        <v>2027</v>
      </c>
      <c r="J144" s="156">
        <v>2028</v>
      </c>
      <c r="K144" s="156">
        <v>2029</v>
      </c>
      <c r="L144" s="156">
        <v>2030</v>
      </c>
      <c r="M144" s="156">
        <v>2031</v>
      </c>
      <c r="N144" s="156">
        <v>2032</v>
      </c>
      <c r="O144" s="156">
        <v>2033</v>
      </c>
      <c r="P144" s="156">
        <v>2034</v>
      </c>
      <c r="Q144" s="156">
        <v>2035</v>
      </c>
      <c r="R144" s="156">
        <v>2036</v>
      </c>
      <c r="S144" s="156">
        <v>2037</v>
      </c>
      <c r="T144" s="156">
        <v>2038</v>
      </c>
      <c r="U144" s="156">
        <v>2039</v>
      </c>
      <c r="V144" s="156">
        <v>2040</v>
      </c>
      <c r="W144" s="156">
        <v>2041</v>
      </c>
      <c r="X144" s="156">
        <v>2042</v>
      </c>
      <c r="Y144" s="156">
        <v>2043</v>
      </c>
      <c r="Z144" s="156">
        <v>2044</v>
      </c>
      <c r="AA144" s="156">
        <v>2045</v>
      </c>
      <c r="AB144" s="156">
        <v>2046</v>
      </c>
      <c r="AC144" s="156">
        <v>2047</v>
      </c>
      <c r="AD144" s="156">
        <v>2048</v>
      </c>
      <c r="AE144" s="156">
        <v>2049</v>
      </c>
      <c r="AF144" s="157">
        <v>2050</v>
      </c>
      <c r="AG144" s="157">
        <v>2051</v>
      </c>
      <c r="AH144" s="157">
        <v>2052</v>
      </c>
      <c r="AI144" s="647"/>
      <c r="AJ144" s="647"/>
      <c r="AK144" s="647"/>
      <c r="AL144" s="647"/>
      <c r="AM144" s="647"/>
      <c r="AN144" s="647"/>
      <c r="AO144" s="647"/>
      <c r="AP144" s="647"/>
      <c r="AQ144" s="647"/>
      <c r="AR144" s="647"/>
      <c r="AS144" s="647"/>
      <c r="AT144" s="647"/>
      <c r="AU144" s="647"/>
      <c r="AV144" s="647"/>
      <c r="AW144" s="647"/>
      <c r="AX144" s="647"/>
      <c r="AY144" s="647"/>
      <c r="AZ144" s="647"/>
      <c r="BA144" s="647"/>
      <c r="BB144" s="647"/>
      <c r="BC144" s="410"/>
    </row>
    <row r="145" spans="2:55" x14ac:dyDescent="0.3">
      <c r="B145" s="634" t="s">
        <v>497</v>
      </c>
      <c r="C145" s="639">
        <f ca="1">MAX(C139,0)</f>
        <v>130.12499040727999</v>
      </c>
      <c r="D145" s="640">
        <f t="shared" ref="D145:AH145" ca="1" si="30">MAX(D139,0)</f>
        <v>214.61728705063024</v>
      </c>
      <c r="E145" s="640">
        <f t="shared" ca="1" si="30"/>
        <v>146.8587988244131</v>
      </c>
      <c r="F145" s="640">
        <f t="shared" ca="1" si="30"/>
        <v>136.15816131327145</v>
      </c>
      <c r="G145" s="640">
        <f t="shared" ca="1" si="30"/>
        <v>104.45135350493968</v>
      </c>
      <c r="H145" s="640">
        <f t="shared" ca="1" si="30"/>
        <v>101.93247547589556</v>
      </c>
      <c r="I145" s="640">
        <f t="shared" ca="1" si="30"/>
        <v>101.59406413805368</v>
      </c>
      <c r="J145" s="640">
        <f t="shared" ca="1" si="30"/>
        <v>100.63141530758675</v>
      </c>
      <c r="K145" s="640">
        <f t="shared" ca="1" si="30"/>
        <v>95.938611695713888</v>
      </c>
      <c r="L145" s="640">
        <f t="shared" ca="1" si="30"/>
        <v>43.201452532029556</v>
      </c>
      <c r="M145" s="640">
        <f t="shared" ca="1" si="30"/>
        <v>43.562563046930862</v>
      </c>
      <c r="N145" s="640">
        <f t="shared" ca="1" si="30"/>
        <v>43.896879424342941</v>
      </c>
      <c r="O145" s="640">
        <f t="shared" ca="1" si="30"/>
        <v>35.983598556528023</v>
      </c>
      <c r="P145" s="640">
        <f t="shared" ca="1" si="30"/>
        <v>37.767265246477344</v>
      </c>
      <c r="Q145" s="640">
        <f t="shared" ca="1" si="30"/>
        <v>30.467491151690275</v>
      </c>
      <c r="R145" s="640">
        <f t="shared" ca="1" si="30"/>
        <v>27.331049838459442</v>
      </c>
      <c r="S145" s="640">
        <f t="shared" ca="1" si="30"/>
        <v>25.866405608125696</v>
      </c>
      <c r="T145" s="640">
        <f t="shared" ca="1" si="30"/>
        <v>19.848616489972322</v>
      </c>
      <c r="U145" s="640">
        <f t="shared" ca="1" si="30"/>
        <v>22.594649374417536</v>
      </c>
      <c r="V145" s="640">
        <f t="shared" ca="1" si="30"/>
        <v>17.380441731409199</v>
      </c>
      <c r="W145" s="640">
        <f t="shared" ca="1" si="30"/>
        <v>13.238004047750188</v>
      </c>
      <c r="X145" s="640">
        <f t="shared" ca="1" si="30"/>
        <v>18.198170058392272</v>
      </c>
      <c r="Y145" s="640">
        <f t="shared" ca="1" si="30"/>
        <v>11.812623757713759</v>
      </c>
      <c r="Z145" s="640">
        <f t="shared" ca="1" si="30"/>
        <v>15.181748994472663</v>
      </c>
      <c r="AA145" s="640">
        <f t="shared" ca="1" si="30"/>
        <v>12.471024461516372</v>
      </c>
      <c r="AB145" s="640">
        <f t="shared" ca="1" si="30"/>
        <v>7.1184466159065067</v>
      </c>
      <c r="AC145" s="640">
        <f t="shared" ca="1" si="30"/>
        <v>10.099572508274328</v>
      </c>
      <c r="AD145" s="640">
        <f t="shared" ca="1" si="30"/>
        <v>5.2064084285278867</v>
      </c>
      <c r="AE145" s="640">
        <f t="shared" ca="1" si="30"/>
        <v>5.9573274364175077</v>
      </c>
      <c r="AF145" s="640">
        <f t="shared" ca="1" si="30"/>
        <v>0</v>
      </c>
      <c r="AG145" s="640">
        <f t="shared" ca="1" si="30"/>
        <v>0</v>
      </c>
      <c r="AH145" s="641">
        <f t="shared" ca="1" si="30"/>
        <v>0</v>
      </c>
      <c r="AI145" s="410"/>
      <c r="AJ145" s="410"/>
      <c r="AK145" s="410"/>
      <c r="AL145" s="410"/>
      <c r="AM145" s="410"/>
      <c r="AN145" s="410"/>
      <c r="AO145" s="410"/>
      <c r="AP145" s="410"/>
      <c r="AQ145" s="410"/>
      <c r="AR145" s="410"/>
      <c r="AS145" s="410"/>
      <c r="AT145" s="410"/>
      <c r="AU145" s="410"/>
      <c r="AV145" s="410"/>
      <c r="AW145" s="410"/>
      <c r="AX145" s="410"/>
      <c r="AY145" s="410"/>
      <c r="AZ145" s="410"/>
      <c r="BA145" s="410"/>
      <c r="BB145" s="410"/>
      <c r="BC145" s="410"/>
    </row>
    <row r="146" spans="2:55" x14ac:dyDescent="0.3">
      <c r="B146" s="634" t="s">
        <v>472</v>
      </c>
      <c r="C146" s="184">
        <f t="shared" ref="C146:AH146" si="31">C8</f>
        <v>1</v>
      </c>
      <c r="D146" s="110">
        <f t="shared" si="31"/>
        <v>1</v>
      </c>
      <c r="E146" s="110">
        <f t="shared" si="31"/>
        <v>0.98505603985056001</v>
      </c>
      <c r="F146" s="110">
        <f t="shared" si="31"/>
        <v>0.59652299891343696</v>
      </c>
      <c r="G146" s="110">
        <f t="shared" si="31"/>
        <v>0.49562903838844502</v>
      </c>
      <c r="H146" s="110">
        <f t="shared" si="31"/>
        <v>0.49562903838844502</v>
      </c>
      <c r="I146" s="110">
        <f t="shared" si="31"/>
        <v>0.49562903838844502</v>
      </c>
      <c r="J146" s="110">
        <f t="shared" si="31"/>
        <v>0.49562903838844502</v>
      </c>
      <c r="K146" s="110">
        <f t="shared" si="31"/>
        <v>0.49562903838844502</v>
      </c>
      <c r="L146" s="110">
        <f t="shared" si="31"/>
        <v>0.49562903838844502</v>
      </c>
      <c r="M146" s="110">
        <f t="shared" si="31"/>
        <v>0.44789044933848998</v>
      </c>
      <c r="N146" s="110">
        <f t="shared" si="31"/>
        <v>0.400151860288535</v>
      </c>
      <c r="O146" s="110">
        <f t="shared" si="31"/>
        <v>0.400151860288535</v>
      </c>
      <c r="P146" s="110">
        <f t="shared" si="31"/>
        <v>0.400151860288535</v>
      </c>
      <c r="Q146" s="110">
        <f t="shared" si="31"/>
        <v>0.400151860288535</v>
      </c>
      <c r="R146" s="110">
        <f t="shared" si="31"/>
        <v>0.3635041520786082</v>
      </c>
      <c r="S146" s="110">
        <f t="shared" si="31"/>
        <v>0.3268564438686814</v>
      </c>
      <c r="T146" s="110">
        <f t="shared" si="31"/>
        <v>0.2902087356587546</v>
      </c>
      <c r="U146" s="110">
        <f t="shared" si="31"/>
        <v>0.2535610274488278</v>
      </c>
      <c r="V146" s="110">
        <f t="shared" si="31"/>
        <v>0.216913319238901</v>
      </c>
      <c r="W146" s="110">
        <f t="shared" si="31"/>
        <v>0.216913319238901</v>
      </c>
      <c r="X146" s="110">
        <f t="shared" si="31"/>
        <v>0.216913319238901</v>
      </c>
      <c r="Y146" s="110">
        <f t="shared" si="31"/>
        <v>0.216913319238901</v>
      </c>
      <c r="Z146" s="110">
        <f t="shared" si="31"/>
        <v>0.216913319238901</v>
      </c>
      <c r="AA146" s="110">
        <f t="shared" si="31"/>
        <v>0.216913319238901</v>
      </c>
      <c r="AB146" s="110">
        <f t="shared" si="31"/>
        <v>0.216913319238901</v>
      </c>
      <c r="AC146" s="110">
        <f t="shared" si="31"/>
        <v>0.216913319238901</v>
      </c>
      <c r="AD146" s="110">
        <f t="shared" si="31"/>
        <v>0.216913319238901</v>
      </c>
      <c r="AE146" s="110">
        <f t="shared" si="31"/>
        <v>0.216913319238901</v>
      </c>
      <c r="AF146" s="110">
        <f t="shared" si="31"/>
        <v>0.216913319238901</v>
      </c>
      <c r="AG146" s="110">
        <f t="shared" si="31"/>
        <v>0.216913319238901</v>
      </c>
      <c r="AH146" s="613">
        <f t="shared" si="31"/>
        <v>0.216913319238901</v>
      </c>
      <c r="AI146" s="410"/>
      <c r="AJ146" s="410"/>
      <c r="AK146" s="410"/>
      <c r="AL146" s="410"/>
      <c r="AM146" s="410"/>
      <c r="AN146" s="410"/>
      <c r="AO146" s="410"/>
      <c r="AP146" s="410"/>
      <c r="AQ146" s="410"/>
      <c r="AR146" s="410"/>
      <c r="AS146" s="410"/>
      <c r="AT146" s="410"/>
      <c r="AU146" s="410"/>
      <c r="AV146" s="410"/>
      <c r="AW146" s="410"/>
      <c r="AX146" s="410"/>
      <c r="AY146" s="410"/>
      <c r="AZ146" s="410"/>
      <c r="BA146" s="410"/>
      <c r="BB146" s="410"/>
      <c r="BC146" s="410"/>
    </row>
    <row r="147" spans="2:55" x14ac:dyDescent="0.3">
      <c r="B147" s="634" t="s">
        <v>493</v>
      </c>
      <c r="C147" s="642">
        <f ca="1">C145/C146</f>
        <v>130.12499040727999</v>
      </c>
      <c r="D147" s="643">
        <f t="shared" ref="D147:AH147" ca="1" si="32">D145/D146</f>
        <v>214.61728705063024</v>
      </c>
      <c r="E147" s="643">
        <f t="shared" ca="1" si="32"/>
        <v>149.08674520354458</v>
      </c>
      <c r="F147" s="643">
        <f t="shared" ca="1" si="32"/>
        <v>228.25299537701432</v>
      </c>
      <c r="G147" s="643">
        <f t="shared" ca="1" si="32"/>
        <v>210.74502382783476</v>
      </c>
      <c r="H147" s="643">
        <f t="shared" ca="1" si="32"/>
        <v>205.66283970635081</v>
      </c>
      <c r="I147" s="643">
        <f t="shared" ca="1" si="32"/>
        <v>204.98004811903334</v>
      </c>
      <c r="J147" s="643">
        <f t="shared" ca="1" si="32"/>
        <v>203.03777122259277</v>
      </c>
      <c r="K147" s="643">
        <f t="shared" ca="1" si="32"/>
        <v>193.56939215599959</v>
      </c>
      <c r="L147" s="643">
        <f t="shared" ca="1" si="32"/>
        <v>87.164893874056645</v>
      </c>
      <c r="M147" s="643">
        <f t="shared" ca="1" si="32"/>
        <v>97.261647599921844</v>
      </c>
      <c r="N147" s="643">
        <f t="shared" ca="1" si="32"/>
        <v>109.70055066766525</v>
      </c>
      <c r="O147" s="643">
        <f t="shared" ca="1" si="32"/>
        <v>89.924856354738807</v>
      </c>
      <c r="P147" s="643">
        <f t="shared" ca="1" si="32"/>
        <v>94.382330796225062</v>
      </c>
      <c r="Q147" s="643">
        <f t="shared" ca="1" si="32"/>
        <v>76.139821341131025</v>
      </c>
      <c r="R147" s="643">
        <f t="shared" ca="1" si="32"/>
        <v>75.187723942556431</v>
      </c>
      <c r="S147" s="643">
        <f t="shared" ca="1" si="32"/>
        <v>79.136899679780655</v>
      </c>
      <c r="T147" s="643">
        <f t="shared" ca="1" si="32"/>
        <v>68.394276433193085</v>
      </c>
      <c r="U147" s="643">
        <f t="shared" ca="1" si="32"/>
        <v>89.109314636207074</v>
      </c>
      <c r="V147" s="643">
        <f t="shared" ca="1" si="32"/>
        <v>80.126207982032525</v>
      </c>
      <c r="W147" s="643">
        <f t="shared" ca="1" si="32"/>
        <v>61.029005015456413</v>
      </c>
      <c r="X147" s="643">
        <f t="shared" ca="1" si="32"/>
        <v>83.896047150287814</v>
      </c>
      <c r="Y147" s="643">
        <f t="shared" ca="1" si="32"/>
        <v>54.457807382052614</v>
      </c>
      <c r="Z147" s="643">
        <f t="shared" ca="1" si="32"/>
        <v>69.98993444820232</v>
      </c>
      <c r="AA147" s="643">
        <f t="shared" ca="1" si="32"/>
        <v>57.493124466834637</v>
      </c>
      <c r="AB147" s="643">
        <f t="shared" ca="1" si="32"/>
        <v>32.817010227327209</v>
      </c>
      <c r="AC147" s="643">
        <f t="shared" ca="1" si="32"/>
        <v>46.560407372453696</v>
      </c>
      <c r="AD147" s="643">
        <f t="shared" ca="1" si="32"/>
        <v>24.002253281614877</v>
      </c>
      <c r="AE147" s="643">
        <f t="shared" ca="1" si="32"/>
        <v>27.464092372567997</v>
      </c>
      <c r="AF147" s="643">
        <f t="shared" ca="1" si="32"/>
        <v>0</v>
      </c>
      <c r="AG147" s="643">
        <f t="shared" ca="1" si="32"/>
        <v>0</v>
      </c>
      <c r="AH147" s="644">
        <f t="shared" ca="1" si="32"/>
        <v>0</v>
      </c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  <c r="AZ147" s="410"/>
      <c r="BA147" s="410"/>
      <c r="BB147" s="410"/>
      <c r="BC147" s="410"/>
    </row>
    <row r="148" spans="2:55" x14ac:dyDescent="0.3">
      <c r="B148" s="634"/>
      <c r="C148" s="635"/>
      <c r="D148" s="635"/>
      <c r="E148" s="635"/>
      <c r="F148" s="635"/>
      <c r="G148" s="635"/>
      <c r="H148" s="635"/>
      <c r="I148" s="635"/>
      <c r="J148" s="635"/>
      <c r="K148" s="635"/>
      <c r="L148" s="635"/>
      <c r="M148" s="635"/>
      <c r="N148" s="635"/>
      <c r="O148" s="635"/>
      <c r="P148" s="635"/>
      <c r="Q148" s="635"/>
      <c r="R148" s="635"/>
      <c r="S148" s="635"/>
      <c r="T148" s="635"/>
      <c r="U148" s="635"/>
      <c r="V148" s="635"/>
      <c r="W148" s="635"/>
      <c r="X148" s="635"/>
      <c r="Y148" s="635"/>
      <c r="Z148" s="635"/>
      <c r="AA148" s="635"/>
      <c r="AB148" s="635"/>
      <c r="AC148" s="635"/>
      <c r="AD148" s="635"/>
      <c r="AE148" s="635"/>
      <c r="AF148" s="635"/>
      <c r="AG148" s="635"/>
      <c r="AH148" s="635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</row>
    <row r="149" spans="2:55" ht="21" x14ac:dyDescent="0.4">
      <c r="B149" s="636" t="s">
        <v>494</v>
      </c>
      <c r="AI149" s="410"/>
      <c r="AJ149" s="410"/>
      <c r="AK149" s="410"/>
      <c r="AL149" s="410"/>
      <c r="AM149" s="410"/>
      <c r="AN149" s="410"/>
      <c r="AO149" s="410"/>
      <c r="AP149" s="410"/>
      <c r="AQ149" s="410"/>
      <c r="AR149" s="410"/>
      <c r="AS149" s="410"/>
      <c r="AT149" s="410"/>
      <c r="AU149" s="410"/>
      <c r="AV149" s="410"/>
      <c r="AW149" s="410"/>
      <c r="AX149" s="410"/>
      <c r="AY149" s="410"/>
      <c r="AZ149" s="410"/>
      <c r="BA149" s="410"/>
      <c r="BB149" s="410"/>
      <c r="BC149" s="410"/>
    </row>
    <row r="150" spans="2:55" x14ac:dyDescent="0.3">
      <c r="B150" s="211" t="s">
        <v>489</v>
      </c>
      <c r="AI150" s="410"/>
      <c r="AJ150" s="410"/>
      <c r="AK150" s="410"/>
      <c r="AL150" s="410"/>
      <c r="AM150" s="410"/>
      <c r="AN150" s="410"/>
      <c r="AO150" s="410"/>
      <c r="AP150" s="410"/>
      <c r="AQ150" s="410"/>
      <c r="AR150" s="410"/>
      <c r="AS150" s="410"/>
      <c r="AT150" s="410"/>
      <c r="AU150" s="410"/>
      <c r="AV150" s="410"/>
      <c r="AW150" s="410"/>
      <c r="AX150" s="410"/>
      <c r="AY150" s="410"/>
      <c r="AZ150" s="410"/>
      <c r="BA150" s="410"/>
      <c r="BB150" s="410"/>
      <c r="BC150" s="410"/>
    </row>
    <row r="151" spans="2:55" x14ac:dyDescent="0.3">
      <c r="C151" s="155">
        <v>2021</v>
      </c>
      <c r="D151" s="156">
        <v>2022</v>
      </c>
      <c r="E151" s="156">
        <v>2023</v>
      </c>
      <c r="F151" s="156">
        <v>2024</v>
      </c>
      <c r="G151" s="156">
        <v>2025</v>
      </c>
      <c r="H151" s="156">
        <v>2026</v>
      </c>
      <c r="I151" s="156">
        <v>2027</v>
      </c>
      <c r="J151" s="156">
        <v>2028</v>
      </c>
      <c r="K151" s="156">
        <v>2029</v>
      </c>
      <c r="L151" s="156">
        <v>2030</v>
      </c>
      <c r="M151" s="156">
        <v>2031</v>
      </c>
      <c r="N151" s="156">
        <v>2032</v>
      </c>
      <c r="O151" s="156">
        <v>2033</v>
      </c>
      <c r="P151" s="156">
        <v>2034</v>
      </c>
      <c r="Q151" s="156">
        <v>2035</v>
      </c>
      <c r="R151" s="156">
        <v>2036</v>
      </c>
      <c r="S151" s="156">
        <v>2037</v>
      </c>
      <c r="T151" s="156">
        <v>2038</v>
      </c>
      <c r="U151" s="156">
        <v>2039</v>
      </c>
      <c r="V151" s="156">
        <v>2040</v>
      </c>
      <c r="W151" s="156">
        <v>2041</v>
      </c>
      <c r="X151" s="156">
        <v>2042</v>
      </c>
      <c r="Y151" s="156">
        <v>2043</v>
      </c>
      <c r="Z151" s="156">
        <v>2044</v>
      </c>
      <c r="AA151" s="156">
        <v>2045</v>
      </c>
      <c r="AB151" s="156">
        <v>2046</v>
      </c>
      <c r="AC151" s="156">
        <v>2047</v>
      </c>
      <c r="AD151" s="156">
        <v>2048</v>
      </c>
      <c r="AE151" s="156">
        <v>2049</v>
      </c>
      <c r="AF151" s="157">
        <v>2050</v>
      </c>
      <c r="AG151" s="157">
        <v>2051</v>
      </c>
      <c r="AH151" s="157">
        <v>2052</v>
      </c>
      <c r="AI151" s="647"/>
      <c r="AJ151" s="647"/>
      <c r="AK151" s="647"/>
      <c r="AL151" s="647"/>
      <c r="AM151" s="647"/>
      <c r="AN151" s="647"/>
      <c r="AO151" s="647"/>
      <c r="AP151" s="647"/>
      <c r="AQ151" s="647"/>
      <c r="AR151" s="647"/>
      <c r="AS151" s="647"/>
      <c r="AT151" s="647"/>
      <c r="AU151" s="647"/>
      <c r="AV151" s="647"/>
      <c r="AW151" s="647"/>
      <c r="AX151" s="647"/>
      <c r="AY151" s="647"/>
      <c r="AZ151" s="647"/>
      <c r="BA151" s="647"/>
      <c r="BB151" s="647"/>
      <c r="BC151" s="410"/>
    </row>
    <row r="152" spans="2:55" x14ac:dyDescent="0.3">
      <c r="B152" s="634" t="s">
        <v>498</v>
      </c>
      <c r="C152" s="639">
        <f t="shared" ref="C152:AH152" ca="1" si="33">C145*(1+inflation_rate)^(C$151-dollar_year)</f>
        <v>138.08968082012879</v>
      </c>
      <c r="D152" s="640">
        <f t="shared" ca="1" si="33"/>
        <v>232.30865359555372</v>
      </c>
      <c r="E152" s="640">
        <f t="shared" ca="1" si="33"/>
        <v>162.14398056304523</v>
      </c>
      <c r="F152" s="640">
        <f t="shared" ca="1" si="33"/>
        <v>153.33620434709175</v>
      </c>
      <c r="G152" s="640">
        <f t="shared" ca="1" si="33"/>
        <v>119.98177273769258</v>
      </c>
      <c r="H152" s="640">
        <f t="shared" ca="1" si="33"/>
        <v>119.4301411201164</v>
      </c>
      <c r="I152" s="640">
        <f t="shared" ca="1" si="33"/>
        <v>121.41431106752637</v>
      </c>
      <c r="J152" s="640">
        <f t="shared" ca="1" si="33"/>
        <v>122.66913373612323</v>
      </c>
      <c r="K152" s="640">
        <f t="shared" ca="1" si="33"/>
        <v>119.28760496550133</v>
      </c>
      <c r="L152" s="640">
        <f t="shared" ca="1" si="33"/>
        <v>54.789887686929781</v>
      </c>
      <c r="M152" s="640">
        <f t="shared" ca="1" si="33"/>
        <v>56.352820397071284</v>
      </c>
      <c r="N152" s="640">
        <f t="shared" ca="1" si="33"/>
        <v>57.921000165152066</v>
      </c>
      <c r="O152" s="640">
        <f t="shared" ca="1" si="33"/>
        <v>48.429185996196907</v>
      </c>
      <c r="P152" s="640">
        <f t="shared" ca="1" si="33"/>
        <v>51.846361850729565</v>
      </c>
      <c r="Q152" s="640">
        <f t="shared" ca="1" si="33"/>
        <v>42.661843049475422</v>
      </c>
      <c r="R152" s="640">
        <f t="shared" ca="1" si="33"/>
        <v>39.03546937409979</v>
      </c>
      <c r="S152" s="640">
        <f t="shared" ca="1" si="33"/>
        <v>37.682468683053209</v>
      </c>
      <c r="T152" s="640">
        <f t="shared" ca="1" si="33"/>
        <v>29.493999987047392</v>
      </c>
      <c r="U152" s="640">
        <f t="shared" ca="1" si="33"/>
        <v>34.245949608978876</v>
      </c>
      <c r="V152" s="640">
        <f t="shared" ca="1" si="33"/>
        <v>26.869809585863354</v>
      </c>
      <c r="W152" s="640">
        <f t="shared" ca="1" si="33"/>
        <v>20.874998842260005</v>
      </c>
      <c r="X152" s="640">
        <f t="shared" ca="1" si="33"/>
        <v>29.270614594202861</v>
      </c>
      <c r="Y152" s="640">
        <f t="shared" ca="1" si="33"/>
        <v>19.37986134726167</v>
      </c>
      <c r="Z152" s="640">
        <f t="shared" ca="1" si="33"/>
        <v>25.405413774926547</v>
      </c>
      <c r="AA152" s="640">
        <f t="shared" ca="1" si="33"/>
        <v>21.286623003222708</v>
      </c>
      <c r="AB152" s="640">
        <f t="shared" ca="1" si="33"/>
        <v>12.393387868650102</v>
      </c>
      <c r="AC152" s="640">
        <f t="shared" ca="1" si="33"/>
        <v>17.935272213092613</v>
      </c>
      <c r="AD152" s="640">
        <f t="shared" ca="1" si="33"/>
        <v>9.4306882185873242</v>
      </c>
      <c r="AE152" s="640">
        <f t="shared" ca="1" si="33"/>
        <v>11.006691543496617</v>
      </c>
      <c r="AF152" s="640">
        <f t="shared" ca="1" si="33"/>
        <v>0</v>
      </c>
      <c r="AG152" s="640">
        <f t="shared" ca="1" si="33"/>
        <v>0</v>
      </c>
      <c r="AH152" s="641">
        <f t="shared" ca="1" si="33"/>
        <v>0</v>
      </c>
      <c r="AI152" s="410"/>
      <c r="AJ152" s="410"/>
      <c r="AK152" s="410"/>
      <c r="AL152" s="410"/>
      <c r="AM152" s="410"/>
      <c r="AN152" s="410"/>
      <c r="AO152" s="410"/>
      <c r="AP152" s="410"/>
      <c r="AQ152" s="410"/>
      <c r="AR152" s="410"/>
      <c r="AS152" s="410"/>
      <c r="AT152" s="410"/>
      <c r="AU152" s="410"/>
      <c r="AV152" s="410"/>
      <c r="AW152" s="410"/>
      <c r="AX152" s="410"/>
      <c r="AY152" s="410"/>
      <c r="AZ152" s="410"/>
      <c r="BA152" s="410"/>
      <c r="BB152" s="410"/>
      <c r="BC152" s="410"/>
    </row>
    <row r="153" spans="2:55" x14ac:dyDescent="0.3">
      <c r="B153" s="634" t="s">
        <v>499</v>
      </c>
      <c r="C153" s="642">
        <f t="shared" ref="C153:AH153" ca="1" si="34">C147*(1+inflation_rate)^(C$151-dollar_year)</f>
        <v>138.08968082012879</v>
      </c>
      <c r="D153" s="643">
        <f t="shared" ca="1" si="34"/>
        <v>232.30865359555372</v>
      </c>
      <c r="E153" s="643">
        <f t="shared" ca="1" si="34"/>
        <v>164.60381339080325</v>
      </c>
      <c r="F153" s="643">
        <f t="shared" ca="1" si="34"/>
        <v>257.04994547803307</v>
      </c>
      <c r="G153" s="643">
        <f t="shared" ca="1" si="34"/>
        <v>242.07978839943976</v>
      </c>
      <c r="H153" s="643">
        <f t="shared" ca="1" si="34"/>
        <v>240.96679546551115</v>
      </c>
      <c r="I153" s="643">
        <f t="shared" ca="1" si="34"/>
        <v>244.97013222290042</v>
      </c>
      <c r="J153" s="643">
        <f t="shared" ca="1" si="34"/>
        <v>247.50191016851267</v>
      </c>
      <c r="K153" s="643">
        <f t="shared" ca="1" si="34"/>
        <v>240.67920909833919</v>
      </c>
      <c r="L153" s="643">
        <f t="shared" ca="1" si="34"/>
        <v>110.5461614296874</v>
      </c>
      <c r="M153" s="643">
        <f t="shared" ca="1" si="34"/>
        <v>125.81831222411944</v>
      </c>
      <c r="N153" s="643">
        <f t="shared" ca="1" si="34"/>
        <v>144.74754690228687</v>
      </c>
      <c r="O153" s="643">
        <f t="shared" ca="1" si="34"/>
        <v>121.02701699618834</v>
      </c>
      <c r="P153" s="643">
        <f t="shared" ca="1" si="34"/>
        <v>129.56671453019121</v>
      </c>
      <c r="Q153" s="643">
        <f t="shared" ca="1" si="34"/>
        <v>106.61413149176295</v>
      </c>
      <c r="R153" s="643">
        <f t="shared" ca="1" si="34"/>
        <v>107.3865845847569</v>
      </c>
      <c r="S153" s="643">
        <f t="shared" ca="1" si="34"/>
        <v>115.28751961271598</v>
      </c>
      <c r="T153" s="643">
        <f t="shared" ca="1" si="34"/>
        <v>101.63029696572698</v>
      </c>
      <c r="U153" s="643">
        <f t="shared" ca="1" si="34"/>
        <v>135.0599891219095</v>
      </c>
      <c r="V153" s="643">
        <f t="shared" ca="1" si="34"/>
        <v>123.87348863658231</v>
      </c>
      <c r="W153" s="643">
        <f t="shared" ca="1" si="34"/>
        <v>96.236593103206303</v>
      </c>
      <c r="X153" s="643">
        <f t="shared" ca="1" si="34"/>
        <v>134.94152732025273</v>
      </c>
      <c r="Y153" s="643">
        <f t="shared" ca="1" si="34"/>
        <v>89.343805236401124</v>
      </c>
      <c r="Z153" s="643">
        <f t="shared" ca="1" si="34"/>
        <v>117.1224241280725</v>
      </c>
      <c r="AA153" s="643">
        <f t="shared" ca="1" si="34"/>
        <v>98.134236652283846</v>
      </c>
      <c r="AB153" s="643">
        <f t="shared" ca="1" si="34"/>
        <v>57.135209180033996</v>
      </c>
      <c r="AC153" s="643">
        <f t="shared" ca="1" si="34"/>
        <v>82.684052210456059</v>
      </c>
      <c r="AD153" s="643">
        <f t="shared" ca="1" si="34"/>
        <v>43.476759526235838</v>
      </c>
      <c r="AE153" s="643">
        <f t="shared" ca="1" si="34"/>
        <v>50.742349903254294</v>
      </c>
      <c r="AF153" s="643">
        <f t="shared" ca="1" si="34"/>
        <v>0</v>
      </c>
      <c r="AG153" s="643">
        <f t="shared" ca="1" si="34"/>
        <v>0</v>
      </c>
      <c r="AH153" s="644">
        <f t="shared" ca="1" si="34"/>
        <v>0</v>
      </c>
      <c r="AI153" s="410"/>
      <c r="AJ153" s="410"/>
      <c r="AK153" s="410"/>
      <c r="AL153" s="410"/>
      <c r="AM153" s="410"/>
      <c r="AN153" s="410"/>
      <c r="AO153" s="410"/>
      <c r="AP153" s="410"/>
      <c r="AQ153" s="410"/>
      <c r="AR153" s="410"/>
      <c r="AS153" s="410"/>
      <c r="AT153" s="410"/>
      <c r="AU153" s="410"/>
      <c r="AV153" s="410"/>
      <c r="AW153" s="410"/>
      <c r="AX153" s="410"/>
      <c r="AY153" s="410"/>
      <c r="AZ153" s="410"/>
      <c r="BA153" s="410"/>
      <c r="BB153" s="410"/>
      <c r="BC153" s="410"/>
    </row>
    <row r="154" spans="2:55" x14ac:dyDescent="0.3"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410"/>
    </row>
    <row r="155" spans="2:55" x14ac:dyDescent="0.3">
      <c r="AI155" s="410"/>
      <c r="AJ155" s="410"/>
      <c r="AK155" s="410"/>
      <c r="AL155" s="410"/>
      <c r="AM155" s="410"/>
      <c r="AN155" s="410"/>
      <c r="AO155" s="410"/>
      <c r="AP155" s="410"/>
      <c r="AQ155" s="410"/>
      <c r="AR155" s="410"/>
      <c r="AS155" s="410"/>
      <c r="AT155" s="410"/>
      <c r="AU155" s="410"/>
      <c r="AV155" s="410"/>
      <c r="AW155" s="410"/>
      <c r="AX155" s="410"/>
      <c r="AY155" s="410"/>
      <c r="AZ155" s="410"/>
      <c r="BA155" s="410"/>
      <c r="BB155" s="410"/>
      <c r="BC155" s="410"/>
    </row>
    <row r="156" spans="2:55" x14ac:dyDescent="0.3"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410"/>
      <c r="AX156" s="410"/>
      <c r="AY156" s="410"/>
      <c r="AZ156" s="410"/>
      <c r="BA156" s="410"/>
      <c r="BB156" s="410"/>
      <c r="BC156" s="410"/>
    </row>
    <row r="157" spans="2:55" x14ac:dyDescent="0.3">
      <c r="AI157" s="410"/>
      <c r="AJ157" s="410"/>
      <c r="AK157" s="410"/>
      <c r="AL157" s="410"/>
      <c r="AM157" s="410"/>
      <c r="AN157" s="410"/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  <c r="AZ157" s="410"/>
      <c r="BA157" s="410"/>
      <c r="BB157" s="410"/>
      <c r="BC157" s="410"/>
    </row>
    <row r="158" spans="2:55" x14ac:dyDescent="0.3">
      <c r="AI158" s="410"/>
      <c r="AJ158" s="410"/>
      <c r="AK158" s="410"/>
      <c r="AL158" s="410"/>
      <c r="AM158" s="410"/>
      <c r="AN158" s="410"/>
      <c r="AO158" s="410"/>
      <c r="AP158" s="410"/>
      <c r="AQ158" s="410"/>
      <c r="AR158" s="410"/>
      <c r="AS158" s="410"/>
      <c r="AT158" s="410"/>
      <c r="AU158" s="410"/>
      <c r="AV158" s="410"/>
      <c r="AW158" s="410"/>
      <c r="AX158" s="410"/>
      <c r="AY158" s="410"/>
      <c r="AZ158" s="410"/>
      <c r="BA158" s="410"/>
      <c r="BB158" s="410"/>
      <c r="BC158" s="410"/>
    </row>
    <row r="159" spans="2:55" x14ac:dyDescent="0.3">
      <c r="AI159" s="410"/>
      <c r="AJ159" s="410"/>
      <c r="AK159" s="410"/>
      <c r="AL159" s="410"/>
      <c r="AM159" s="410"/>
      <c r="AN159" s="410"/>
      <c r="AO159" s="410"/>
      <c r="AP159" s="410"/>
      <c r="AQ159" s="410"/>
      <c r="AR159" s="410"/>
      <c r="AS159" s="410"/>
      <c r="AT159" s="410"/>
      <c r="AU159" s="410"/>
      <c r="AV159" s="410"/>
      <c r="AW159" s="410"/>
      <c r="AX159" s="410"/>
      <c r="AY159" s="410"/>
      <c r="AZ159" s="410"/>
      <c r="BA159" s="410"/>
      <c r="BB159" s="410"/>
      <c r="BC159" s="410"/>
    </row>
    <row r="160" spans="2:55" x14ac:dyDescent="0.3">
      <c r="AI160" s="410"/>
      <c r="AJ160" s="410"/>
      <c r="AK160" s="410"/>
      <c r="AL160" s="410"/>
      <c r="AM160" s="410"/>
      <c r="AN160" s="410"/>
      <c r="AO160" s="410"/>
      <c r="AP160" s="410"/>
      <c r="AQ160" s="410"/>
      <c r="AR160" s="410"/>
      <c r="AS160" s="410"/>
      <c r="AT160" s="410"/>
      <c r="AU160" s="410"/>
      <c r="AV160" s="410"/>
      <c r="AW160" s="410"/>
      <c r="AX160" s="410"/>
      <c r="AY160" s="410"/>
      <c r="AZ160" s="410"/>
      <c r="BA160" s="410"/>
      <c r="BB160" s="410"/>
      <c r="BC160" s="410"/>
    </row>
    <row r="161" spans="35:55" x14ac:dyDescent="0.3">
      <c r="AI161" s="410"/>
      <c r="AJ161" s="410"/>
      <c r="AK161" s="410"/>
      <c r="AL161" s="410"/>
      <c r="AM161" s="410"/>
      <c r="AN161" s="410"/>
      <c r="AO161" s="410"/>
      <c r="AP161" s="410"/>
      <c r="AQ161" s="410"/>
      <c r="AR161" s="410"/>
      <c r="AS161" s="410"/>
      <c r="AT161" s="410"/>
      <c r="AU161" s="410"/>
      <c r="AV161" s="410"/>
      <c r="AW161" s="410"/>
      <c r="AX161" s="410"/>
      <c r="AY161" s="410"/>
      <c r="AZ161" s="410"/>
      <c r="BA161" s="410"/>
      <c r="BB161" s="410"/>
      <c r="BC161" s="410"/>
    </row>
    <row r="162" spans="35:55" x14ac:dyDescent="0.3">
      <c r="AI162" s="410"/>
      <c r="AJ162" s="410"/>
      <c r="AK162" s="410"/>
      <c r="AL162" s="410"/>
      <c r="AM162" s="410"/>
      <c r="AN162" s="410"/>
      <c r="AO162" s="410"/>
      <c r="AP162" s="410"/>
      <c r="AQ162" s="410"/>
      <c r="AR162" s="410"/>
      <c r="AS162" s="410"/>
      <c r="AT162" s="410"/>
      <c r="AU162" s="410"/>
      <c r="AV162" s="410"/>
      <c r="AW162" s="410"/>
      <c r="AX162" s="410"/>
      <c r="AY162" s="410"/>
      <c r="AZ162" s="410"/>
      <c r="BA162" s="410"/>
      <c r="BB162" s="410"/>
      <c r="BC162" s="410"/>
    </row>
    <row r="163" spans="35:55" x14ac:dyDescent="0.3">
      <c r="AI163" s="410"/>
      <c r="AJ163" s="410"/>
      <c r="AK163" s="410"/>
      <c r="AL163" s="410"/>
      <c r="AM163" s="410"/>
      <c r="AN163" s="410"/>
      <c r="AO163" s="410"/>
      <c r="AP163" s="410"/>
      <c r="AQ163" s="410"/>
      <c r="AR163" s="410"/>
      <c r="AS163" s="410"/>
      <c r="AT163" s="410"/>
      <c r="AU163" s="410"/>
      <c r="AV163" s="410"/>
      <c r="AW163" s="410"/>
      <c r="AX163" s="410"/>
      <c r="AY163" s="410"/>
      <c r="AZ163" s="410"/>
      <c r="BA163" s="410"/>
      <c r="BB163" s="410"/>
      <c r="BC163" s="410"/>
    </row>
    <row r="164" spans="35:55" x14ac:dyDescent="0.3">
      <c r="AI164" s="410"/>
      <c r="AJ164" s="410"/>
      <c r="AK164" s="410"/>
      <c r="AL164" s="410"/>
      <c r="AM164" s="410"/>
      <c r="AN164" s="410"/>
      <c r="AO164" s="410"/>
      <c r="AP164" s="410"/>
      <c r="AQ164" s="410"/>
      <c r="AR164" s="410"/>
      <c r="AS164" s="410"/>
      <c r="AT164" s="410"/>
      <c r="AU164" s="410"/>
      <c r="AV164" s="410"/>
      <c r="AW164" s="410"/>
      <c r="AX164" s="410"/>
      <c r="AY164" s="410"/>
      <c r="AZ164" s="410"/>
      <c r="BA164" s="410"/>
      <c r="BB164" s="410"/>
      <c r="BC164" s="410"/>
    </row>
    <row r="165" spans="35:55" x14ac:dyDescent="0.3">
      <c r="AI165" s="410"/>
      <c r="AJ165" s="410"/>
      <c r="AK165" s="410"/>
      <c r="AL165" s="410"/>
      <c r="AM165" s="410"/>
      <c r="AN165" s="410"/>
      <c r="AO165" s="410"/>
      <c r="AP165" s="410"/>
      <c r="AQ165" s="410"/>
      <c r="AR165" s="410"/>
      <c r="AS165" s="410"/>
      <c r="AT165" s="410"/>
      <c r="AU165" s="410"/>
      <c r="AV165" s="410"/>
      <c r="AW165" s="410"/>
      <c r="AX165" s="410"/>
      <c r="AY165" s="410"/>
      <c r="AZ165" s="410"/>
      <c r="BA165" s="410"/>
      <c r="BB165" s="410"/>
      <c r="BC165" s="410"/>
    </row>
    <row r="166" spans="35:55" x14ac:dyDescent="0.3">
      <c r="AI166" s="410"/>
      <c r="AJ166" s="410"/>
      <c r="AK166" s="410"/>
      <c r="AL166" s="410"/>
      <c r="AM166" s="410"/>
      <c r="AN166" s="410"/>
      <c r="AO166" s="410"/>
      <c r="AP166" s="410"/>
      <c r="AQ166" s="410"/>
      <c r="AR166" s="410"/>
      <c r="AS166" s="410"/>
      <c r="AT166" s="410"/>
      <c r="AU166" s="410"/>
      <c r="AV166" s="410"/>
      <c r="AW166" s="410"/>
      <c r="AX166" s="410"/>
      <c r="AY166" s="410"/>
      <c r="AZ166" s="410"/>
      <c r="BA166" s="410"/>
      <c r="BB166" s="410"/>
      <c r="BC166" s="410"/>
    </row>
    <row r="167" spans="35:55" x14ac:dyDescent="0.3"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410"/>
      <c r="AY167" s="410"/>
      <c r="AZ167" s="410"/>
      <c r="BA167" s="410"/>
      <c r="BB167" s="410"/>
      <c r="BC167" s="410"/>
    </row>
    <row r="168" spans="35:55" x14ac:dyDescent="0.3">
      <c r="AI168" s="410"/>
      <c r="AJ168" s="410"/>
      <c r="AK168" s="410"/>
      <c r="AL168" s="410"/>
      <c r="AM168" s="410"/>
      <c r="AN168" s="410"/>
      <c r="AO168" s="410"/>
      <c r="AP168" s="410"/>
      <c r="AQ168" s="410"/>
      <c r="AR168" s="410"/>
      <c r="AS168" s="410"/>
      <c r="AT168" s="410"/>
      <c r="AU168" s="410"/>
      <c r="AV168" s="410"/>
      <c r="AW168" s="410"/>
      <c r="AX168" s="410"/>
      <c r="AY168" s="410"/>
      <c r="AZ168" s="410"/>
      <c r="BA168" s="410"/>
      <c r="BB168" s="410"/>
      <c r="BC168" s="410"/>
    </row>
    <row r="169" spans="35:55" x14ac:dyDescent="0.3">
      <c r="AI169" s="410"/>
      <c r="AJ169" s="410"/>
      <c r="AK169" s="410"/>
      <c r="AL169" s="410"/>
      <c r="AM169" s="410"/>
      <c r="AN169" s="410"/>
      <c r="AO169" s="410"/>
      <c r="AP169" s="410"/>
      <c r="AQ169" s="410"/>
      <c r="AR169" s="410"/>
      <c r="AS169" s="410"/>
      <c r="AT169" s="410"/>
      <c r="AU169" s="410"/>
      <c r="AV169" s="410"/>
      <c r="AW169" s="410"/>
      <c r="AX169" s="410"/>
      <c r="AY169" s="410"/>
      <c r="AZ169" s="410"/>
      <c r="BA169" s="410"/>
      <c r="BB169" s="410"/>
      <c r="BC169" s="410"/>
    </row>
    <row r="170" spans="35:55" x14ac:dyDescent="0.3">
      <c r="AI170" s="410"/>
      <c r="AJ170" s="410"/>
      <c r="AK170" s="410"/>
      <c r="AL170" s="410"/>
      <c r="AM170" s="410"/>
      <c r="AN170" s="410"/>
      <c r="AO170" s="410"/>
      <c r="AP170" s="410"/>
      <c r="AQ170" s="410"/>
      <c r="AR170" s="410"/>
      <c r="AS170" s="410"/>
      <c r="AT170" s="410"/>
      <c r="AU170" s="410"/>
      <c r="AV170" s="410"/>
      <c r="AW170" s="410"/>
      <c r="AX170" s="410"/>
      <c r="AY170" s="410"/>
      <c r="AZ170" s="410"/>
      <c r="BA170" s="410"/>
      <c r="BB170" s="410"/>
      <c r="BC170" s="410"/>
    </row>
    <row r="171" spans="35:55" x14ac:dyDescent="0.3">
      <c r="AI171" s="410"/>
      <c r="AJ171" s="410"/>
      <c r="AK171" s="410"/>
      <c r="AL171" s="410"/>
      <c r="AM171" s="410"/>
      <c r="AN171" s="410"/>
      <c r="AO171" s="410"/>
      <c r="AP171" s="410"/>
      <c r="AQ171" s="410"/>
      <c r="AR171" s="410"/>
      <c r="AS171" s="410"/>
      <c r="AT171" s="410"/>
      <c r="AU171" s="410"/>
      <c r="AV171" s="410"/>
      <c r="AW171" s="410"/>
      <c r="AX171" s="410"/>
      <c r="AY171" s="410"/>
      <c r="AZ171" s="410"/>
      <c r="BA171" s="410"/>
      <c r="BB171" s="410"/>
      <c r="BC171" s="410"/>
    </row>
    <row r="172" spans="35:55" x14ac:dyDescent="0.3">
      <c r="AI172" s="410"/>
      <c r="AJ172" s="410"/>
      <c r="AK172" s="410"/>
      <c r="AL172" s="410"/>
      <c r="AM172" s="410"/>
      <c r="AN172" s="410"/>
      <c r="AO172" s="410"/>
      <c r="AP172" s="410"/>
      <c r="AQ172" s="410"/>
      <c r="AR172" s="410"/>
      <c r="AS172" s="410"/>
      <c r="AT172" s="410"/>
      <c r="AU172" s="410"/>
      <c r="AV172" s="410"/>
      <c r="AW172" s="410"/>
      <c r="AX172" s="410"/>
      <c r="AY172" s="410"/>
      <c r="AZ172" s="410"/>
      <c r="BA172" s="410"/>
      <c r="BB172" s="410"/>
      <c r="BC172" s="410"/>
    </row>
    <row r="173" spans="35:55" x14ac:dyDescent="0.3">
      <c r="AI173" s="410"/>
      <c r="AJ173" s="410"/>
      <c r="AK173" s="410"/>
      <c r="AL173" s="410"/>
      <c r="AM173" s="410"/>
      <c r="AN173" s="410"/>
      <c r="AO173" s="410"/>
      <c r="AP173" s="410"/>
      <c r="AQ173" s="410"/>
      <c r="AR173" s="410"/>
      <c r="AS173" s="410"/>
      <c r="AT173" s="410"/>
      <c r="AU173" s="410"/>
      <c r="AV173" s="410"/>
      <c r="AW173" s="410"/>
      <c r="AX173" s="410"/>
      <c r="AY173" s="410"/>
      <c r="AZ173" s="410"/>
      <c r="BA173" s="410"/>
      <c r="BB173" s="410"/>
      <c r="BC173" s="410"/>
    </row>
    <row r="174" spans="35:55" x14ac:dyDescent="0.3">
      <c r="AI174" s="410"/>
      <c r="AJ174" s="410"/>
      <c r="AK174" s="410"/>
      <c r="AL174" s="410"/>
      <c r="AM174" s="410"/>
      <c r="AN174" s="410"/>
      <c r="AO174" s="410"/>
      <c r="AP174" s="410"/>
      <c r="AQ174" s="410"/>
      <c r="AR174" s="410"/>
      <c r="AS174" s="410"/>
      <c r="AT174" s="410"/>
      <c r="AU174" s="410"/>
      <c r="AV174" s="410"/>
      <c r="AW174" s="410"/>
      <c r="AX174" s="410"/>
      <c r="AY174" s="410"/>
      <c r="AZ174" s="410"/>
      <c r="BA174" s="410"/>
      <c r="BB174" s="410"/>
      <c r="BC174" s="410"/>
    </row>
    <row r="175" spans="35:55" x14ac:dyDescent="0.3">
      <c r="AI175" s="410"/>
      <c r="AJ175" s="410"/>
      <c r="AK175" s="410"/>
      <c r="AL175" s="410"/>
      <c r="AM175" s="410"/>
      <c r="AN175" s="410"/>
      <c r="AO175" s="410"/>
      <c r="AP175" s="410"/>
      <c r="AQ175" s="410"/>
      <c r="AR175" s="410"/>
      <c r="AS175" s="410"/>
      <c r="AT175" s="410"/>
      <c r="AU175" s="410"/>
      <c r="AV175" s="410"/>
      <c r="AW175" s="410"/>
      <c r="AX175" s="410"/>
      <c r="AY175" s="410"/>
      <c r="AZ175" s="410"/>
      <c r="BA175" s="410"/>
      <c r="BB175" s="410"/>
      <c r="BC175" s="410"/>
    </row>
    <row r="176" spans="35:55" x14ac:dyDescent="0.3">
      <c r="AI176" s="410"/>
      <c r="AJ176" s="410"/>
      <c r="AK176" s="410"/>
      <c r="AL176" s="410"/>
      <c r="AM176" s="410"/>
      <c r="AN176" s="410"/>
      <c r="AO176" s="410"/>
      <c r="AP176" s="410"/>
      <c r="AQ176" s="410"/>
      <c r="AR176" s="410"/>
      <c r="AS176" s="410"/>
      <c r="AT176" s="410"/>
      <c r="AU176" s="410"/>
      <c r="AV176" s="410"/>
      <c r="AW176" s="410"/>
      <c r="AX176" s="410"/>
      <c r="AY176" s="410"/>
      <c r="AZ176" s="410"/>
      <c r="BA176" s="410"/>
      <c r="BB176" s="410"/>
      <c r="BC176" s="410"/>
    </row>
    <row r="177" spans="35:55" x14ac:dyDescent="0.3">
      <c r="AI177" s="410"/>
      <c r="AJ177" s="410"/>
      <c r="AK177" s="410"/>
      <c r="AL177" s="410"/>
      <c r="AM177" s="410"/>
      <c r="AN177" s="410"/>
      <c r="AO177" s="410"/>
      <c r="AP177" s="410"/>
      <c r="AQ177" s="410"/>
      <c r="AR177" s="410"/>
      <c r="AS177" s="410"/>
      <c r="AT177" s="410"/>
      <c r="AU177" s="410"/>
      <c r="AV177" s="410"/>
      <c r="AW177" s="410"/>
      <c r="AX177" s="410"/>
      <c r="AY177" s="410"/>
      <c r="AZ177" s="410"/>
      <c r="BA177" s="410"/>
      <c r="BB177" s="410"/>
      <c r="BC177" s="410"/>
    </row>
    <row r="178" spans="35:55" x14ac:dyDescent="0.3">
      <c r="AI178" s="410"/>
      <c r="AJ178" s="410"/>
      <c r="AK178" s="410"/>
      <c r="AL178" s="410"/>
      <c r="AM178" s="410"/>
      <c r="AN178" s="410"/>
      <c r="AO178" s="410"/>
      <c r="AP178" s="410"/>
      <c r="AQ178" s="410"/>
      <c r="AR178" s="410"/>
      <c r="AS178" s="410"/>
      <c r="AT178" s="410"/>
      <c r="AU178" s="410"/>
      <c r="AV178" s="410"/>
      <c r="AW178" s="410"/>
      <c r="AX178" s="410"/>
      <c r="AY178" s="410"/>
      <c r="AZ178" s="410"/>
      <c r="BA178" s="410"/>
      <c r="BB178" s="410"/>
      <c r="BC178" s="410"/>
    </row>
    <row r="179" spans="35:55" x14ac:dyDescent="0.3">
      <c r="AI179" s="410"/>
      <c r="AJ179" s="410"/>
      <c r="AK179" s="410"/>
      <c r="AL179" s="410"/>
      <c r="AM179" s="410"/>
      <c r="AN179" s="410"/>
      <c r="AO179" s="410"/>
      <c r="AP179" s="410"/>
      <c r="AQ179" s="410"/>
      <c r="AR179" s="410"/>
      <c r="AS179" s="410"/>
      <c r="AT179" s="410"/>
      <c r="AU179" s="410"/>
      <c r="AV179" s="410"/>
      <c r="AW179" s="410"/>
      <c r="AX179" s="410"/>
      <c r="AY179" s="410"/>
      <c r="AZ179" s="410"/>
      <c r="BA179" s="410"/>
      <c r="BB179" s="410"/>
      <c r="BC179" s="410"/>
    </row>
    <row r="180" spans="35:55" x14ac:dyDescent="0.3">
      <c r="AI180" s="410"/>
      <c r="AJ180" s="410"/>
      <c r="AK180" s="410"/>
      <c r="AL180" s="410"/>
      <c r="AM180" s="410"/>
      <c r="AN180" s="410"/>
      <c r="AO180" s="410"/>
      <c r="AP180" s="410"/>
      <c r="AQ180" s="410"/>
      <c r="AR180" s="410"/>
      <c r="AS180" s="410"/>
      <c r="AT180" s="410"/>
      <c r="AU180" s="410"/>
      <c r="AV180" s="410"/>
      <c r="AW180" s="410"/>
      <c r="AX180" s="410"/>
      <c r="AY180" s="410"/>
      <c r="AZ180" s="410"/>
      <c r="BA180" s="410"/>
      <c r="BB180" s="410"/>
      <c r="BC180" s="410"/>
    </row>
    <row r="181" spans="35:55" x14ac:dyDescent="0.3">
      <c r="AI181" s="410"/>
      <c r="AJ181" s="410"/>
      <c r="AK181" s="410"/>
      <c r="AL181" s="410"/>
      <c r="AM181" s="410"/>
      <c r="AN181" s="410"/>
      <c r="AO181" s="410"/>
      <c r="AP181" s="410"/>
      <c r="AQ181" s="410"/>
      <c r="AR181" s="410"/>
      <c r="AS181" s="410"/>
      <c r="AT181" s="410"/>
      <c r="AU181" s="410"/>
      <c r="AV181" s="410"/>
      <c r="AW181" s="410"/>
      <c r="AX181" s="410"/>
      <c r="AY181" s="410"/>
      <c r="AZ181" s="410"/>
      <c r="BA181" s="410"/>
      <c r="BB181" s="410"/>
      <c r="BC181" s="410"/>
    </row>
    <row r="182" spans="35:55" x14ac:dyDescent="0.3">
      <c r="AI182" s="410"/>
      <c r="AJ182" s="410"/>
      <c r="AK182" s="410"/>
      <c r="AL182" s="410"/>
      <c r="AM182" s="410"/>
      <c r="AN182" s="410"/>
      <c r="AO182" s="410"/>
      <c r="AP182" s="410"/>
      <c r="AQ182" s="410"/>
      <c r="AR182" s="410"/>
      <c r="AS182" s="410"/>
      <c r="AT182" s="410"/>
      <c r="AU182" s="410"/>
      <c r="AV182" s="410"/>
      <c r="AW182" s="410"/>
      <c r="AX182" s="410"/>
      <c r="AY182" s="410"/>
      <c r="AZ182" s="410"/>
      <c r="BA182" s="410"/>
      <c r="BB182" s="410"/>
      <c r="BC182" s="410"/>
    </row>
    <row r="183" spans="35:55" x14ac:dyDescent="0.3">
      <c r="AI183" s="410"/>
      <c r="AJ183" s="410"/>
      <c r="AK183" s="410"/>
      <c r="AL183" s="410"/>
      <c r="AM183" s="410"/>
      <c r="AN183" s="410"/>
      <c r="AO183" s="410"/>
      <c r="AP183" s="410"/>
      <c r="AQ183" s="410"/>
      <c r="AR183" s="410"/>
      <c r="AS183" s="410"/>
      <c r="AT183" s="410"/>
      <c r="AU183" s="410"/>
      <c r="AV183" s="410"/>
      <c r="AW183" s="410"/>
      <c r="AX183" s="410"/>
      <c r="AY183" s="410"/>
      <c r="AZ183" s="410"/>
      <c r="BA183" s="410"/>
      <c r="BB183" s="410"/>
      <c r="BC183" s="410"/>
    </row>
    <row r="184" spans="35:55" x14ac:dyDescent="0.3">
      <c r="AI184" s="410"/>
      <c r="AJ184" s="410"/>
      <c r="AK184" s="410"/>
      <c r="AL184" s="410"/>
      <c r="AM184" s="410"/>
      <c r="AN184" s="410"/>
      <c r="AO184" s="410"/>
      <c r="AP184" s="410"/>
      <c r="AQ184" s="410"/>
      <c r="AR184" s="410"/>
      <c r="AS184" s="410"/>
      <c r="AT184" s="410"/>
      <c r="AU184" s="410"/>
      <c r="AV184" s="410"/>
      <c r="AW184" s="410"/>
      <c r="AX184" s="410"/>
      <c r="AY184" s="410"/>
      <c r="AZ184" s="410"/>
      <c r="BA184" s="410"/>
      <c r="BB184" s="410"/>
      <c r="BC184" s="410"/>
    </row>
    <row r="185" spans="35:55" x14ac:dyDescent="0.3">
      <c r="AI185" s="410"/>
      <c r="AJ185" s="410"/>
      <c r="AK185" s="410"/>
      <c r="AL185" s="410"/>
      <c r="AM185" s="410"/>
      <c r="AN185" s="410"/>
      <c r="AO185" s="410"/>
      <c r="AP185" s="410"/>
      <c r="AQ185" s="410"/>
      <c r="AR185" s="410"/>
      <c r="AS185" s="410"/>
      <c r="AT185" s="410"/>
      <c r="AU185" s="410"/>
      <c r="AV185" s="410"/>
      <c r="AW185" s="410"/>
      <c r="AX185" s="410"/>
      <c r="AY185" s="410"/>
      <c r="AZ185" s="410"/>
      <c r="BA185" s="410"/>
      <c r="BB185" s="410"/>
      <c r="BC185" s="410"/>
    </row>
    <row r="186" spans="35:55" x14ac:dyDescent="0.3">
      <c r="AI186" s="410"/>
      <c r="AJ186" s="410"/>
      <c r="AK186" s="410"/>
      <c r="AL186" s="410"/>
      <c r="AM186" s="410"/>
      <c r="AN186" s="410"/>
      <c r="AO186" s="410"/>
      <c r="AP186" s="410"/>
      <c r="AQ186" s="410"/>
      <c r="AR186" s="410"/>
      <c r="AS186" s="410"/>
      <c r="AT186" s="410"/>
      <c r="AU186" s="410"/>
      <c r="AV186" s="410"/>
      <c r="AW186" s="410"/>
      <c r="AX186" s="410"/>
      <c r="AY186" s="410"/>
      <c r="AZ186" s="410"/>
      <c r="BA186" s="410"/>
      <c r="BB186" s="410"/>
      <c r="BC186" s="410"/>
    </row>
    <row r="187" spans="35:55" x14ac:dyDescent="0.3">
      <c r="AI187" s="410"/>
      <c r="AJ187" s="410"/>
      <c r="AK187" s="410"/>
      <c r="AL187" s="410"/>
      <c r="AM187" s="410"/>
      <c r="AN187" s="410"/>
      <c r="AO187" s="410"/>
      <c r="AP187" s="410"/>
      <c r="AQ187" s="410"/>
      <c r="AR187" s="410"/>
      <c r="AS187" s="410"/>
      <c r="AT187" s="410"/>
      <c r="AU187" s="410"/>
      <c r="AV187" s="410"/>
      <c r="AW187" s="410"/>
      <c r="AX187" s="410"/>
      <c r="AY187" s="410"/>
      <c r="AZ187" s="410"/>
      <c r="BA187" s="410"/>
      <c r="BB187" s="410"/>
      <c r="BC187" s="410"/>
    </row>
    <row r="188" spans="35:55" x14ac:dyDescent="0.3">
      <c r="AI188" s="410"/>
      <c r="AJ188" s="410"/>
      <c r="AK188" s="410"/>
      <c r="AL188" s="410"/>
      <c r="AM188" s="410"/>
      <c r="AN188" s="410"/>
      <c r="AO188" s="410"/>
      <c r="AP188" s="410"/>
      <c r="AQ188" s="410"/>
      <c r="AR188" s="410"/>
      <c r="AS188" s="410"/>
      <c r="AT188" s="410"/>
      <c r="AU188" s="410"/>
      <c r="AV188" s="410"/>
      <c r="AW188" s="410"/>
      <c r="AX188" s="410"/>
      <c r="AY188" s="410"/>
      <c r="AZ188" s="410"/>
      <c r="BA188" s="410"/>
      <c r="BB188" s="410"/>
      <c r="BC188" s="410"/>
    </row>
    <row r="189" spans="35:55" x14ac:dyDescent="0.3">
      <c r="AI189" s="410"/>
      <c r="AJ189" s="410"/>
      <c r="AK189" s="410"/>
      <c r="AL189" s="410"/>
      <c r="AM189" s="410"/>
      <c r="AN189" s="410"/>
      <c r="AO189" s="410"/>
      <c r="AP189" s="410"/>
      <c r="AQ189" s="410"/>
      <c r="AR189" s="410"/>
      <c r="AS189" s="410"/>
      <c r="AT189" s="410"/>
      <c r="AU189" s="410"/>
      <c r="AV189" s="410"/>
      <c r="AW189" s="410"/>
      <c r="AX189" s="410"/>
      <c r="AY189" s="410"/>
      <c r="AZ189" s="410"/>
      <c r="BA189" s="410"/>
      <c r="BB189" s="410"/>
      <c r="BC189" s="410"/>
    </row>
    <row r="190" spans="35:55" x14ac:dyDescent="0.3">
      <c r="AI190" s="410"/>
      <c r="AJ190" s="410"/>
      <c r="AK190" s="410"/>
      <c r="AL190" s="410"/>
      <c r="AM190" s="410"/>
      <c r="AN190" s="410"/>
      <c r="AO190" s="410"/>
      <c r="AP190" s="410"/>
      <c r="AQ190" s="410"/>
      <c r="AR190" s="410"/>
      <c r="AS190" s="410"/>
      <c r="AT190" s="410"/>
      <c r="AU190" s="410"/>
      <c r="AV190" s="410"/>
      <c r="AW190" s="410"/>
      <c r="AX190" s="410"/>
      <c r="AY190" s="410"/>
      <c r="AZ190" s="410"/>
      <c r="BA190" s="410"/>
      <c r="BB190" s="410"/>
      <c r="BC190" s="410"/>
    </row>
    <row r="191" spans="35:55" x14ac:dyDescent="0.3">
      <c r="AI191" s="410"/>
      <c r="AJ191" s="410"/>
      <c r="AK191" s="410"/>
      <c r="AL191" s="410"/>
      <c r="AM191" s="410"/>
      <c r="AN191" s="410"/>
      <c r="AO191" s="410"/>
      <c r="AP191" s="410"/>
      <c r="AQ191" s="410"/>
      <c r="AR191" s="410"/>
      <c r="AS191" s="410"/>
      <c r="AT191" s="410"/>
      <c r="AU191" s="410"/>
      <c r="AV191" s="410"/>
      <c r="AW191" s="410"/>
      <c r="AX191" s="410"/>
      <c r="AY191" s="410"/>
      <c r="AZ191" s="410"/>
      <c r="BA191" s="410"/>
      <c r="BB191" s="410"/>
      <c r="BC191" s="410"/>
    </row>
    <row r="192" spans="35:55" x14ac:dyDescent="0.3">
      <c r="AI192" s="410"/>
      <c r="AJ192" s="410"/>
      <c r="AK192" s="410"/>
      <c r="AL192" s="410"/>
      <c r="AM192" s="410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  <c r="AZ192" s="410"/>
      <c r="BA192" s="410"/>
      <c r="BB192" s="410"/>
      <c r="BC192" s="410"/>
    </row>
    <row r="193" spans="35:55" x14ac:dyDescent="0.3">
      <c r="AI193" s="410"/>
      <c r="AJ193" s="410"/>
      <c r="AK193" s="410"/>
      <c r="AL193" s="410"/>
      <c r="AM193" s="410"/>
      <c r="AN193" s="410"/>
      <c r="AO193" s="410"/>
      <c r="AP193" s="410"/>
      <c r="AQ193" s="410"/>
      <c r="AR193" s="410"/>
      <c r="AS193" s="410"/>
      <c r="AT193" s="410"/>
      <c r="AU193" s="410"/>
      <c r="AV193" s="410"/>
      <c r="AW193" s="410"/>
      <c r="AX193" s="410"/>
      <c r="AY193" s="410"/>
      <c r="AZ193" s="410"/>
      <c r="BA193" s="410"/>
      <c r="BB193" s="410"/>
      <c r="BC193" s="410"/>
    </row>
    <row r="194" spans="35:55" x14ac:dyDescent="0.3">
      <c r="AI194" s="410"/>
      <c r="AJ194" s="410"/>
      <c r="AK194" s="410"/>
      <c r="AL194" s="410"/>
      <c r="AM194" s="410"/>
      <c r="AN194" s="410"/>
      <c r="AO194" s="410"/>
      <c r="AP194" s="410"/>
      <c r="AQ194" s="410"/>
      <c r="AR194" s="410"/>
      <c r="AS194" s="410"/>
      <c r="AT194" s="410"/>
      <c r="AU194" s="410"/>
      <c r="AV194" s="410"/>
      <c r="AW194" s="410"/>
      <c r="AX194" s="410"/>
      <c r="AY194" s="410"/>
      <c r="AZ194" s="410"/>
      <c r="BA194" s="410"/>
      <c r="BB194" s="410"/>
      <c r="BC194" s="410"/>
    </row>
    <row r="195" spans="35:55" x14ac:dyDescent="0.3">
      <c r="AI195" s="410"/>
      <c r="AJ195" s="410"/>
      <c r="AK195" s="410"/>
      <c r="AL195" s="410"/>
      <c r="AM195" s="410"/>
      <c r="AN195" s="410"/>
      <c r="AO195" s="410"/>
      <c r="AP195" s="410"/>
      <c r="AQ195" s="410"/>
      <c r="AR195" s="410"/>
      <c r="AS195" s="410"/>
      <c r="AT195" s="410"/>
      <c r="AU195" s="410"/>
      <c r="AV195" s="410"/>
      <c r="AW195" s="410"/>
      <c r="AX195" s="410"/>
      <c r="AY195" s="410"/>
      <c r="AZ195" s="410"/>
      <c r="BA195" s="410"/>
      <c r="BB195" s="410"/>
      <c r="BC195" s="410"/>
    </row>
    <row r="196" spans="35:55" x14ac:dyDescent="0.3">
      <c r="AI196" s="410"/>
      <c r="AJ196" s="410"/>
      <c r="AK196" s="410"/>
      <c r="AL196" s="410"/>
      <c r="AM196" s="410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  <c r="AZ196" s="410"/>
      <c r="BA196" s="410"/>
      <c r="BB196" s="410"/>
      <c r="BC196" s="410"/>
    </row>
    <row r="197" spans="35:55" x14ac:dyDescent="0.3"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</row>
    <row r="198" spans="35:55" x14ac:dyDescent="0.3"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</row>
    <row r="199" spans="35:55" x14ac:dyDescent="0.3">
      <c r="AI199" s="410"/>
      <c r="AJ199" s="410"/>
      <c r="AK199" s="410"/>
      <c r="AL199" s="410"/>
      <c r="AM199" s="410"/>
      <c r="AN199" s="410"/>
      <c r="AO199" s="410"/>
      <c r="AP199" s="410"/>
      <c r="AQ199" s="410"/>
      <c r="AR199" s="410"/>
      <c r="AS199" s="410"/>
      <c r="AT199" s="410"/>
      <c r="AU199" s="410"/>
      <c r="AV199" s="410"/>
      <c r="AW199" s="410"/>
      <c r="AX199" s="410"/>
      <c r="AY199" s="410"/>
      <c r="AZ199" s="410"/>
      <c r="BA199" s="410"/>
      <c r="BB199" s="410"/>
      <c r="BC199" s="410"/>
    </row>
    <row r="200" spans="35:55" x14ac:dyDescent="0.3"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</row>
    <row r="201" spans="35:55" x14ac:dyDescent="0.3"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</row>
    <row r="202" spans="35:55" x14ac:dyDescent="0.3"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</row>
    <row r="203" spans="35:55" x14ac:dyDescent="0.3"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</row>
    <row r="204" spans="35:55" x14ac:dyDescent="0.3"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</row>
    <row r="205" spans="35:55" x14ac:dyDescent="0.3"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</row>
    <row r="206" spans="35:55" x14ac:dyDescent="0.3"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</row>
    <row r="207" spans="35:55" x14ac:dyDescent="0.3"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</row>
    <row r="208" spans="35:55" x14ac:dyDescent="0.3"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</row>
    <row r="209" spans="35:55" x14ac:dyDescent="0.3">
      <c r="AI209" s="410"/>
      <c r="AJ209" s="410"/>
      <c r="AK209" s="410"/>
      <c r="AL209" s="410"/>
      <c r="AM209" s="410"/>
      <c r="AN209" s="410"/>
      <c r="AO209" s="410"/>
      <c r="AP209" s="410"/>
      <c r="AQ209" s="410"/>
      <c r="AR209" s="410"/>
      <c r="AS209" s="410"/>
      <c r="AT209" s="410"/>
      <c r="AU209" s="410"/>
      <c r="AV209" s="410"/>
      <c r="AW209" s="410"/>
      <c r="AX209" s="410"/>
      <c r="AY209" s="410"/>
      <c r="AZ209" s="410"/>
      <c r="BA209" s="410"/>
      <c r="BB209" s="410"/>
      <c r="BC209" s="410"/>
    </row>
    <row r="210" spans="35:55" x14ac:dyDescent="0.3">
      <c r="AI210" s="410"/>
      <c r="AJ210" s="410"/>
      <c r="AK210" s="410"/>
      <c r="AL210" s="410"/>
      <c r="AM210" s="410"/>
      <c r="AN210" s="410"/>
      <c r="AO210" s="410"/>
      <c r="AP210" s="410"/>
      <c r="AQ210" s="410"/>
      <c r="AR210" s="410"/>
      <c r="AS210" s="410"/>
      <c r="AT210" s="410"/>
      <c r="AU210" s="410"/>
      <c r="AV210" s="410"/>
      <c r="AW210" s="410"/>
      <c r="AX210" s="410"/>
      <c r="AY210" s="410"/>
      <c r="AZ210" s="410"/>
      <c r="BA210" s="410"/>
      <c r="BB210" s="410"/>
      <c r="BC210" s="410"/>
    </row>
    <row r="211" spans="35:55" x14ac:dyDescent="0.3">
      <c r="AI211" s="410"/>
      <c r="AJ211" s="410"/>
      <c r="AK211" s="410"/>
      <c r="AL211" s="410"/>
      <c r="AM211" s="410"/>
      <c r="AN211" s="410"/>
      <c r="AO211" s="410"/>
      <c r="AP211" s="410"/>
      <c r="AQ211" s="410"/>
      <c r="AR211" s="410"/>
      <c r="AS211" s="410"/>
      <c r="AT211" s="410"/>
      <c r="AU211" s="410"/>
      <c r="AV211" s="410"/>
      <c r="AW211" s="410"/>
      <c r="AX211" s="410"/>
      <c r="AY211" s="410"/>
      <c r="AZ211" s="410"/>
      <c r="BA211" s="410"/>
      <c r="BB211" s="410"/>
      <c r="BC211" s="410"/>
    </row>
    <row r="212" spans="35:55" x14ac:dyDescent="0.3">
      <c r="AI212" s="410"/>
      <c r="AJ212" s="410"/>
      <c r="AK212" s="410"/>
      <c r="AL212" s="410"/>
      <c r="AM212" s="410"/>
      <c r="AN212" s="410"/>
      <c r="AO212" s="410"/>
      <c r="AP212" s="410"/>
      <c r="AQ212" s="410"/>
      <c r="AR212" s="410"/>
      <c r="AS212" s="410"/>
      <c r="AT212" s="410"/>
      <c r="AU212" s="410"/>
      <c r="AV212" s="410"/>
      <c r="AW212" s="410"/>
      <c r="AX212" s="410"/>
      <c r="AY212" s="410"/>
      <c r="AZ212" s="410"/>
      <c r="BA212" s="410"/>
      <c r="BB212" s="410"/>
      <c r="BC212" s="410"/>
    </row>
    <row r="213" spans="35:55" x14ac:dyDescent="0.3">
      <c r="AI213" s="410"/>
      <c r="AJ213" s="410"/>
      <c r="AK213" s="410"/>
      <c r="AL213" s="410"/>
      <c r="AM213" s="410"/>
      <c r="AN213" s="410"/>
      <c r="AO213" s="410"/>
      <c r="AP213" s="410"/>
      <c r="AQ213" s="410"/>
      <c r="AR213" s="410"/>
      <c r="AS213" s="410"/>
      <c r="AT213" s="410"/>
      <c r="AU213" s="410"/>
      <c r="AV213" s="410"/>
      <c r="AW213" s="410"/>
      <c r="AX213" s="410"/>
      <c r="AY213" s="410"/>
      <c r="AZ213" s="410"/>
      <c r="BA213" s="410"/>
      <c r="BB213" s="410"/>
      <c r="BC213" s="410"/>
    </row>
    <row r="214" spans="35:55" x14ac:dyDescent="0.3">
      <c r="AI214" s="410"/>
      <c r="AJ214" s="410"/>
      <c r="AK214" s="410"/>
      <c r="AL214" s="410"/>
      <c r="AM214" s="410"/>
      <c r="AN214" s="410"/>
      <c r="AO214" s="410"/>
      <c r="AP214" s="410"/>
      <c r="AQ214" s="410"/>
      <c r="AR214" s="410"/>
      <c r="AS214" s="410"/>
      <c r="AT214" s="410"/>
      <c r="AU214" s="410"/>
      <c r="AV214" s="410"/>
      <c r="AW214" s="410"/>
      <c r="AX214" s="410"/>
      <c r="AY214" s="410"/>
      <c r="AZ214" s="410"/>
      <c r="BA214" s="410"/>
      <c r="BB214" s="410"/>
      <c r="BC214" s="410"/>
    </row>
    <row r="215" spans="35:55" x14ac:dyDescent="0.3">
      <c r="AI215" s="410"/>
      <c r="AJ215" s="410"/>
      <c r="AK215" s="410"/>
      <c r="AL215" s="410"/>
      <c r="AM215" s="410"/>
      <c r="AN215" s="410"/>
      <c r="AO215" s="410"/>
      <c r="AP215" s="410"/>
      <c r="AQ215" s="410"/>
      <c r="AR215" s="410"/>
      <c r="AS215" s="410"/>
      <c r="AT215" s="410"/>
      <c r="AU215" s="410"/>
      <c r="AV215" s="410"/>
      <c r="AW215" s="410"/>
      <c r="AX215" s="410"/>
      <c r="AY215" s="410"/>
      <c r="AZ215" s="410"/>
      <c r="BA215" s="410"/>
      <c r="BB215" s="410"/>
      <c r="BC215" s="410"/>
    </row>
    <row r="216" spans="35:55" x14ac:dyDescent="0.3">
      <c r="AI216" s="410"/>
      <c r="AJ216" s="410"/>
      <c r="AK216" s="410"/>
      <c r="AL216" s="410"/>
      <c r="AM216" s="410"/>
      <c r="AN216" s="410"/>
      <c r="AO216" s="410"/>
      <c r="AP216" s="410"/>
      <c r="AQ216" s="410"/>
      <c r="AR216" s="410"/>
      <c r="AS216" s="410"/>
      <c r="AT216" s="410"/>
      <c r="AU216" s="410"/>
      <c r="AV216" s="410"/>
      <c r="AW216" s="410"/>
      <c r="AX216" s="410"/>
      <c r="AY216" s="410"/>
      <c r="AZ216" s="410"/>
      <c r="BA216" s="410"/>
      <c r="BB216" s="410"/>
      <c r="BC216" s="410"/>
    </row>
    <row r="217" spans="35:55" x14ac:dyDescent="0.3">
      <c r="AI217" s="410"/>
      <c r="AJ217" s="410"/>
      <c r="AK217" s="410"/>
      <c r="AL217" s="410"/>
      <c r="AM217" s="410"/>
      <c r="AN217" s="410"/>
      <c r="AO217" s="410"/>
      <c r="AP217" s="410"/>
      <c r="AQ217" s="410"/>
      <c r="AR217" s="410"/>
      <c r="AS217" s="410"/>
      <c r="AT217" s="410"/>
      <c r="AU217" s="410"/>
      <c r="AV217" s="410"/>
      <c r="AW217" s="410"/>
      <c r="AX217" s="410"/>
      <c r="AY217" s="410"/>
      <c r="AZ217" s="410"/>
      <c r="BA217" s="410"/>
      <c r="BB217" s="410"/>
      <c r="BC217" s="410"/>
    </row>
    <row r="218" spans="35:55" x14ac:dyDescent="0.3">
      <c r="AI218" s="410"/>
      <c r="AJ218" s="410"/>
      <c r="AK218" s="410"/>
      <c r="AL218" s="410"/>
      <c r="AM218" s="410"/>
      <c r="AN218" s="410"/>
      <c r="AO218" s="410"/>
      <c r="AP218" s="410"/>
      <c r="AQ218" s="410"/>
      <c r="AR218" s="410"/>
      <c r="AS218" s="410"/>
      <c r="AT218" s="410"/>
      <c r="AU218" s="410"/>
      <c r="AV218" s="410"/>
      <c r="AW218" s="410"/>
      <c r="AX218" s="410"/>
      <c r="AY218" s="410"/>
      <c r="AZ218" s="410"/>
      <c r="BA218" s="410"/>
      <c r="BB218" s="410"/>
      <c r="BC218" s="410"/>
    </row>
    <row r="219" spans="35:55" x14ac:dyDescent="0.3">
      <c r="AI219" s="410"/>
      <c r="AJ219" s="410"/>
      <c r="AK219" s="410"/>
      <c r="AL219" s="410"/>
      <c r="AM219" s="410"/>
      <c r="AN219" s="410"/>
      <c r="AO219" s="410"/>
      <c r="AP219" s="410"/>
      <c r="AQ219" s="410"/>
      <c r="AR219" s="410"/>
      <c r="AS219" s="410"/>
      <c r="AT219" s="410"/>
      <c r="AU219" s="410"/>
      <c r="AV219" s="410"/>
      <c r="AW219" s="410"/>
      <c r="AX219" s="410"/>
      <c r="AY219" s="410"/>
      <c r="AZ219" s="410"/>
      <c r="BA219" s="410"/>
      <c r="BB219" s="410"/>
      <c r="BC219" s="410"/>
    </row>
    <row r="220" spans="35:55" x14ac:dyDescent="0.3">
      <c r="AI220" s="410"/>
      <c r="AJ220" s="410"/>
      <c r="AK220" s="410"/>
      <c r="AL220" s="410"/>
      <c r="AM220" s="410"/>
      <c r="AN220" s="410"/>
      <c r="AO220" s="410"/>
      <c r="AP220" s="410"/>
      <c r="AQ220" s="410"/>
      <c r="AR220" s="410"/>
      <c r="AS220" s="410"/>
      <c r="AT220" s="410"/>
      <c r="AU220" s="410"/>
      <c r="AV220" s="410"/>
      <c r="AW220" s="410"/>
      <c r="AX220" s="410"/>
      <c r="AY220" s="410"/>
      <c r="AZ220" s="410"/>
      <c r="BA220" s="410"/>
      <c r="BB220" s="410"/>
      <c r="BC220" s="410"/>
    </row>
    <row r="221" spans="35:55" x14ac:dyDescent="0.3">
      <c r="AI221" s="410"/>
      <c r="AJ221" s="410"/>
      <c r="AK221" s="410"/>
      <c r="AL221" s="410"/>
      <c r="AM221" s="410"/>
      <c r="AN221" s="410"/>
      <c r="AO221" s="410"/>
      <c r="AP221" s="410"/>
      <c r="AQ221" s="410"/>
      <c r="AR221" s="410"/>
      <c r="AS221" s="410"/>
      <c r="AT221" s="410"/>
      <c r="AU221" s="410"/>
      <c r="AV221" s="410"/>
      <c r="AW221" s="410"/>
      <c r="AX221" s="410"/>
      <c r="AY221" s="410"/>
      <c r="AZ221" s="410"/>
      <c r="BA221" s="410"/>
      <c r="BB221" s="410"/>
      <c r="BC221" s="410"/>
    </row>
    <row r="222" spans="35:55" x14ac:dyDescent="0.3">
      <c r="AI222" s="410"/>
      <c r="AJ222" s="410"/>
      <c r="AK222" s="410"/>
      <c r="AL222" s="410"/>
      <c r="AM222" s="410"/>
      <c r="AN222" s="410"/>
      <c r="AO222" s="410"/>
      <c r="AP222" s="410"/>
      <c r="AQ222" s="410"/>
      <c r="AR222" s="410"/>
      <c r="AS222" s="410"/>
      <c r="AT222" s="410"/>
      <c r="AU222" s="410"/>
      <c r="AV222" s="410"/>
      <c r="AW222" s="410"/>
      <c r="AX222" s="410"/>
      <c r="AY222" s="410"/>
      <c r="AZ222" s="410"/>
      <c r="BA222" s="410"/>
      <c r="BB222" s="410"/>
      <c r="BC222" s="410"/>
    </row>
    <row r="223" spans="35:55" x14ac:dyDescent="0.3">
      <c r="AI223" s="410"/>
      <c r="AJ223" s="410"/>
      <c r="AK223" s="410"/>
      <c r="AL223" s="410"/>
      <c r="AM223" s="410"/>
      <c r="AN223" s="410"/>
      <c r="AO223" s="410"/>
      <c r="AP223" s="410"/>
      <c r="AQ223" s="410"/>
      <c r="AR223" s="410"/>
      <c r="AS223" s="410"/>
      <c r="AT223" s="410"/>
      <c r="AU223" s="410"/>
      <c r="AV223" s="410"/>
      <c r="AW223" s="410"/>
      <c r="AX223" s="410"/>
      <c r="AY223" s="410"/>
      <c r="AZ223" s="410"/>
      <c r="BA223" s="410"/>
      <c r="BB223" s="410"/>
      <c r="BC223" s="410"/>
    </row>
    <row r="224" spans="35:55" x14ac:dyDescent="0.3">
      <c r="AI224" s="410"/>
      <c r="AJ224" s="410"/>
      <c r="AK224" s="410"/>
      <c r="AL224" s="410"/>
      <c r="AM224" s="410"/>
      <c r="AN224" s="410"/>
      <c r="AO224" s="410"/>
      <c r="AP224" s="410"/>
      <c r="AQ224" s="410"/>
      <c r="AR224" s="410"/>
      <c r="AS224" s="410"/>
      <c r="AT224" s="410"/>
      <c r="AU224" s="410"/>
      <c r="AV224" s="410"/>
      <c r="AW224" s="410"/>
      <c r="AX224" s="410"/>
      <c r="AY224" s="410"/>
      <c r="AZ224" s="410"/>
      <c r="BA224" s="410"/>
      <c r="BB224" s="410"/>
      <c r="BC224" s="410"/>
    </row>
    <row r="225" spans="35:55" x14ac:dyDescent="0.3">
      <c r="AI225" s="410"/>
      <c r="AJ225" s="410"/>
      <c r="AK225" s="410"/>
      <c r="AL225" s="410"/>
      <c r="AM225" s="410"/>
      <c r="AN225" s="410"/>
      <c r="AO225" s="410"/>
      <c r="AP225" s="410"/>
      <c r="AQ225" s="410"/>
      <c r="AR225" s="410"/>
      <c r="AS225" s="410"/>
      <c r="AT225" s="410"/>
      <c r="AU225" s="410"/>
      <c r="AV225" s="410"/>
      <c r="AW225" s="410"/>
      <c r="AX225" s="410"/>
      <c r="AY225" s="410"/>
      <c r="AZ225" s="410"/>
      <c r="BA225" s="410"/>
      <c r="BB225" s="410"/>
      <c r="BC225" s="410"/>
    </row>
    <row r="226" spans="35:55" x14ac:dyDescent="0.3">
      <c r="AI226" s="410"/>
      <c r="AJ226" s="410"/>
      <c r="AK226" s="410"/>
      <c r="AL226" s="410"/>
      <c r="AM226" s="410"/>
      <c r="AN226" s="410"/>
      <c r="AO226" s="410"/>
      <c r="AP226" s="410"/>
      <c r="AQ226" s="410"/>
      <c r="AR226" s="410"/>
      <c r="AS226" s="410"/>
      <c r="AT226" s="410"/>
      <c r="AU226" s="410"/>
      <c r="AV226" s="410"/>
      <c r="AW226" s="410"/>
      <c r="AX226" s="410"/>
      <c r="AY226" s="410"/>
      <c r="AZ226" s="410"/>
      <c r="BA226" s="410"/>
      <c r="BB226" s="410"/>
      <c r="BC226" s="410"/>
    </row>
    <row r="227" spans="35:55" x14ac:dyDescent="0.3">
      <c r="AI227" s="410"/>
      <c r="AJ227" s="410"/>
      <c r="AK227" s="410"/>
      <c r="AL227" s="410"/>
      <c r="AM227" s="410"/>
      <c r="AN227" s="410"/>
      <c r="AO227" s="410"/>
      <c r="AP227" s="410"/>
      <c r="AQ227" s="410"/>
      <c r="AR227" s="410"/>
      <c r="AS227" s="410"/>
      <c r="AT227" s="410"/>
      <c r="AU227" s="410"/>
      <c r="AV227" s="410"/>
      <c r="AW227" s="410"/>
      <c r="AX227" s="410"/>
      <c r="AY227" s="410"/>
      <c r="AZ227" s="410"/>
      <c r="BA227" s="410"/>
      <c r="BB227" s="410"/>
      <c r="BC227" s="410"/>
    </row>
    <row r="228" spans="35:55" x14ac:dyDescent="0.3">
      <c r="AI228" s="410"/>
      <c r="AJ228" s="410"/>
      <c r="AK228" s="410"/>
      <c r="AL228" s="410"/>
      <c r="AM228" s="410"/>
      <c r="AN228" s="410"/>
      <c r="AO228" s="410"/>
      <c r="AP228" s="410"/>
      <c r="AQ228" s="410"/>
      <c r="AR228" s="410"/>
      <c r="AS228" s="410"/>
      <c r="AT228" s="410"/>
      <c r="AU228" s="410"/>
      <c r="AV228" s="410"/>
      <c r="AW228" s="410"/>
      <c r="AX228" s="410"/>
      <c r="AY228" s="410"/>
      <c r="AZ228" s="410"/>
      <c r="BA228" s="410"/>
      <c r="BB228" s="410"/>
      <c r="BC228" s="410"/>
    </row>
    <row r="229" spans="35:55" x14ac:dyDescent="0.3">
      <c r="AI229" s="410"/>
      <c r="AJ229" s="410"/>
      <c r="AK229" s="410"/>
      <c r="AL229" s="410"/>
      <c r="AM229" s="410"/>
      <c r="AN229" s="410"/>
      <c r="AO229" s="410"/>
      <c r="AP229" s="410"/>
      <c r="AQ229" s="410"/>
      <c r="AR229" s="410"/>
      <c r="AS229" s="410"/>
      <c r="AT229" s="410"/>
      <c r="AU229" s="410"/>
      <c r="AV229" s="410"/>
      <c r="AW229" s="410"/>
      <c r="AX229" s="410"/>
      <c r="AY229" s="410"/>
      <c r="AZ229" s="410"/>
      <c r="BA229" s="410"/>
      <c r="BB229" s="410"/>
      <c r="BC229" s="410"/>
    </row>
    <row r="230" spans="35:55" x14ac:dyDescent="0.3">
      <c r="AI230" s="410"/>
      <c r="AJ230" s="410"/>
      <c r="AK230" s="410"/>
      <c r="AL230" s="410"/>
      <c r="AM230" s="410"/>
      <c r="AN230" s="410"/>
      <c r="AO230" s="410"/>
      <c r="AP230" s="410"/>
      <c r="AQ230" s="410"/>
      <c r="AR230" s="410"/>
      <c r="AS230" s="410"/>
      <c r="AT230" s="410"/>
      <c r="AU230" s="410"/>
      <c r="AV230" s="410"/>
      <c r="AW230" s="410"/>
      <c r="AX230" s="410"/>
      <c r="AY230" s="410"/>
      <c r="AZ230" s="410"/>
      <c r="BA230" s="410"/>
      <c r="BB230" s="410"/>
      <c r="BC230" s="410"/>
    </row>
    <row r="231" spans="35:55" x14ac:dyDescent="0.3">
      <c r="AI231" s="410"/>
      <c r="AJ231" s="410"/>
      <c r="AK231" s="410"/>
      <c r="AL231" s="410"/>
      <c r="AM231" s="410"/>
      <c r="AN231" s="410"/>
      <c r="AO231" s="410"/>
      <c r="AP231" s="410"/>
      <c r="AQ231" s="410"/>
      <c r="AR231" s="410"/>
      <c r="AS231" s="410"/>
      <c r="AT231" s="410"/>
      <c r="AU231" s="410"/>
      <c r="AV231" s="410"/>
      <c r="AW231" s="410"/>
      <c r="AX231" s="410"/>
      <c r="AY231" s="410"/>
      <c r="AZ231" s="410"/>
      <c r="BA231" s="410"/>
      <c r="BB231" s="410"/>
      <c r="BC231" s="410"/>
    </row>
    <row r="232" spans="35:55" x14ac:dyDescent="0.3">
      <c r="AI232" s="410"/>
      <c r="AJ232" s="410"/>
      <c r="AK232" s="410"/>
      <c r="AL232" s="410"/>
      <c r="AM232" s="410"/>
      <c r="AN232" s="410"/>
      <c r="AO232" s="410"/>
      <c r="AP232" s="410"/>
      <c r="AQ232" s="410"/>
      <c r="AR232" s="410"/>
      <c r="AS232" s="410"/>
      <c r="AT232" s="410"/>
      <c r="AU232" s="410"/>
      <c r="AV232" s="410"/>
      <c r="AW232" s="410"/>
      <c r="AX232" s="410"/>
      <c r="AY232" s="410"/>
      <c r="AZ232" s="410"/>
      <c r="BA232" s="410"/>
      <c r="BB232" s="410"/>
      <c r="BC232" s="410"/>
    </row>
    <row r="233" spans="35:55" x14ac:dyDescent="0.3">
      <c r="AI233" s="410"/>
      <c r="AJ233" s="410"/>
      <c r="AK233" s="410"/>
      <c r="AL233" s="410"/>
      <c r="AM233" s="410"/>
      <c r="AN233" s="410"/>
      <c r="AO233" s="410"/>
      <c r="AP233" s="410"/>
      <c r="AQ233" s="410"/>
      <c r="AR233" s="410"/>
      <c r="AS233" s="410"/>
      <c r="AT233" s="410"/>
      <c r="AU233" s="410"/>
      <c r="AV233" s="410"/>
      <c r="AW233" s="410"/>
      <c r="AX233" s="410"/>
      <c r="AY233" s="410"/>
      <c r="AZ233" s="410"/>
      <c r="BA233" s="410"/>
      <c r="BB233" s="410"/>
      <c r="BC233" s="410"/>
    </row>
    <row r="234" spans="35:55" x14ac:dyDescent="0.3">
      <c r="AI234" s="410"/>
      <c r="AJ234" s="410"/>
      <c r="AK234" s="410"/>
      <c r="AL234" s="410"/>
      <c r="AM234" s="410"/>
      <c r="AN234" s="410"/>
      <c r="AO234" s="410"/>
      <c r="AP234" s="410"/>
      <c r="AQ234" s="410"/>
      <c r="AR234" s="410"/>
      <c r="AS234" s="410"/>
      <c r="AT234" s="410"/>
      <c r="AU234" s="410"/>
      <c r="AV234" s="410"/>
      <c r="AW234" s="410"/>
      <c r="AX234" s="410"/>
      <c r="AY234" s="410"/>
      <c r="AZ234" s="410"/>
      <c r="BA234" s="410"/>
      <c r="BB234" s="410"/>
      <c r="BC234" s="410"/>
    </row>
    <row r="235" spans="35:55" x14ac:dyDescent="0.3">
      <c r="AI235" s="410"/>
      <c r="AJ235" s="410"/>
      <c r="AK235" s="410"/>
      <c r="AL235" s="410"/>
      <c r="AM235" s="410"/>
      <c r="AN235" s="410"/>
      <c r="AO235" s="410"/>
      <c r="AP235" s="410"/>
      <c r="AQ235" s="410"/>
      <c r="AR235" s="410"/>
      <c r="AS235" s="410"/>
      <c r="AT235" s="410"/>
      <c r="AU235" s="410"/>
      <c r="AV235" s="410"/>
      <c r="AW235" s="410"/>
      <c r="AX235" s="410"/>
      <c r="AY235" s="410"/>
      <c r="AZ235" s="410"/>
      <c r="BA235" s="410"/>
      <c r="BB235" s="410"/>
      <c r="BC235" s="410"/>
    </row>
    <row r="236" spans="35:55" x14ac:dyDescent="0.3">
      <c r="AI236" s="410"/>
      <c r="AJ236" s="410"/>
      <c r="AK236" s="410"/>
      <c r="AL236" s="410"/>
      <c r="AM236" s="410"/>
      <c r="AN236" s="410"/>
      <c r="AO236" s="410"/>
      <c r="AP236" s="410"/>
      <c r="AQ236" s="410"/>
      <c r="AR236" s="410"/>
      <c r="AS236" s="410"/>
      <c r="AT236" s="410"/>
      <c r="AU236" s="410"/>
      <c r="AV236" s="410"/>
      <c r="AW236" s="410"/>
      <c r="AX236" s="410"/>
      <c r="AY236" s="410"/>
      <c r="AZ236" s="410"/>
      <c r="BA236" s="410"/>
      <c r="BB236" s="410"/>
      <c r="BC236" s="410"/>
    </row>
    <row r="237" spans="35:55" x14ac:dyDescent="0.3">
      <c r="AI237" s="410"/>
      <c r="AJ237" s="410"/>
      <c r="AK237" s="410"/>
      <c r="AL237" s="410"/>
      <c r="AM237" s="410"/>
      <c r="AN237" s="410"/>
      <c r="AO237" s="410"/>
      <c r="AP237" s="410"/>
      <c r="AQ237" s="410"/>
      <c r="AR237" s="410"/>
      <c r="AS237" s="410"/>
      <c r="AT237" s="410"/>
      <c r="AU237" s="410"/>
      <c r="AV237" s="410"/>
      <c r="AW237" s="410"/>
      <c r="AX237" s="410"/>
      <c r="AY237" s="410"/>
      <c r="AZ237" s="410"/>
      <c r="BA237" s="410"/>
      <c r="BB237" s="410"/>
      <c r="BC237" s="4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F28F-714D-43EC-9639-0CBC3C015565}">
  <sheetPr>
    <tabColor theme="5"/>
    <pageSetUpPr autoPageBreaks="0"/>
  </sheetPr>
  <dimension ref="A1:CH173"/>
  <sheetViews>
    <sheetView workbookViewId="0"/>
  </sheetViews>
  <sheetFormatPr defaultColWidth="9.33203125" defaultRowHeight="14.4" x14ac:dyDescent="0.3"/>
  <cols>
    <col min="1" max="1" width="23.33203125" style="1" customWidth="1"/>
    <col min="2" max="2" width="38.33203125" style="1" customWidth="1"/>
    <col min="3" max="3" width="21.33203125" style="1" customWidth="1"/>
    <col min="4" max="4" width="15.6640625" style="1" customWidth="1"/>
    <col min="5" max="8" width="16" style="1" customWidth="1"/>
    <col min="9" max="9" width="17.44140625" style="1" customWidth="1"/>
    <col min="10" max="10" width="18.44140625" style="1" customWidth="1"/>
    <col min="11" max="13" width="10.6640625" style="1" customWidth="1"/>
    <col min="14" max="16" width="11.44140625" style="1" customWidth="1"/>
    <col min="17" max="17" width="11.44140625" style="1" bestFit="1" customWidth="1"/>
    <col min="18" max="18" width="10" style="1" customWidth="1"/>
    <col min="19" max="31" width="12.44140625" style="1" customWidth="1"/>
    <col min="32" max="32" width="12.44140625" style="1" bestFit="1" customWidth="1"/>
    <col min="33" max="35" width="12.44140625" style="1" customWidth="1"/>
    <col min="36" max="36" width="13.6640625" style="1" customWidth="1"/>
    <col min="37" max="37" width="13.6640625" style="1" bestFit="1" customWidth="1"/>
    <col min="38" max="16384" width="9.33203125" style="1"/>
  </cols>
  <sheetData>
    <row r="1" spans="2:34" x14ac:dyDescent="0.3">
      <c r="D1" s="5"/>
    </row>
    <row r="2" spans="2:34" x14ac:dyDescent="0.3">
      <c r="B2" s="75" t="s">
        <v>26</v>
      </c>
      <c r="C2" s="75"/>
      <c r="E2" s="76" t="s">
        <v>5</v>
      </c>
      <c r="F2" s="76"/>
    </row>
    <row r="3" spans="2:34" x14ac:dyDescent="0.3">
      <c r="B3" s="77" t="s">
        <v>27</v>
      </c>
      <c r="C3" s="78">
        <v>0.21</v>
      </c>
      <c r="E3" s="79" t="s">
        <v>6</v>
      </c>
      <c r="F3" s="80"/>
    </row>
    <row r="4" spans="2:34" x14ac:dyDescent="0.3">
      <c r="B4" s="77" t="s">
        <v>28</v>
      </c>
      <c r="C4" s="78">
        <v>8.8400000000000006E-2</v>
      </c>
      <c r="E4" s="81" t="s">
        <v>7</v>
      </c>
      <c r="F4" s="82"/>
    </row>
    <row r="5" spans="2:34" x14ac:dyDescent="0.3">
      <c r="B5" s="77" t="s">
        <v>29</v>
      </c>
      <c r="C5" s="83">
        <f>C3+C4*(1-C3)</f>
        <v>0.27983599999999997</v>
      </c>
      <c r="D5" s="5"/>
      <c r="E5" s="84" t="s">
        <v>8</v>
      </c>
      <c r="F5" s="85"/>
    </row>
    <row r="6" spans="2:34" x14ac:dyDescent="0.3">
      <c r="D6" s="5"/>
      <c r="E6" s="86" t="s">
        <v>9</v>
      </c>
      <c r="F6" s="87"/>
    </row>
    <row r="7" spans="2:34" x14ac:dyDescent="0.3">
      <c r="B7" s="75" t="s">
        <v>30</v>
      </c>
      <c r="C7" s="75"/>
      <c r="D7" s="5"/>
      <c r="E7" s="88" t="s">
        <v>10</v>
      </c>
      <c r="F7" s="89"/>
    </row>
    <row r="8" spans="2:34" x14ac:dyDescent="0.3">
      <c r="B8" s="3" t="s">
        <v>31</v>
      </c>
      <c r="C8" s="6">
        <v>4</v>
      </c>
      <c r="D8" s="5"/>
      <c r="E8" s="90" t="s">
        <v>11</v>
      </c>
      <c r="F8" s="91"/>
    </row>
    <row r="9" spans="2:34" x14ac:dyDescent="0.3">
      <c r="B9" s="3" t="s">
        <v>368</v>
      </c>
      <c r="C9" s="4">
        <v>0.02</v>
      </c>
      <c r="D9" s="5"/>
      <c r="E9" s="92" t="s">
        <v>12</v>
      </c>
      <c r="F9" s="93"/>
    </row>
    <row r="10" spans="2:34" x14ac:dyDescent="0.3">
      <c r="B10" s="3" t="s">
        <v>361</v>
      </c>
      <c r="C10" s="631">
        <f>(nominal_discount_rate+1)/(inflation_rate+1)-1</f>
        <v>5.4150326797385517E-2</v>
      </c>
      <c r="D10" s="5"/>
      <c r="E10" s="94"/>
      <c r="F10" s="94"/>
      <c r="L10" s="46"/>
    </row>
    <row r="11" spans="2:34" x14ac:dyDescent="0.3">
      <c r="B11" s="3" t="s">
        <v>360</v>
      </c>
      <c r="C11" s="4">
        <v>7.5233333333333333E-2</v>
      </c>
      <c r="D11" s="48"/>
      <c r="E11" s="94"/>
      <c r="F11" s="94"/>
      <c r="L11" s="46"/>
    </row>
    <row r="12" spans="2:34" x14ac:dyDescent="0.3">
      <c r="B12" s="7" t="s">
        <v>32</v>
      </c>
      <c r="C12" s="8">
        <v>2018</v>
      </c>
      <c r="D12" s="5"/>
      <c r="L12" s="46"/>
    </row>
    <row r="13" spans="2:34" x14ac:dyDescent="0.3">
      <c r="B13" s="7" t="s">
        <v>370</v>
      </c>
      <c r="C13" s="8">
        <v>20</v>
      </c>
      <c r="L13" s="47"/>
    </row>
    <row r="14" spans="2:34" x14ac:dyDescent="0.3">
      <c r="B14" s="2"/>
      <c r="D14" s="2" t="s">
        <v>33</v>
      </c>
    </row>
    <row r="15" spans="2:34" x14ac:dyDescent="0.3">
      <c r="B15" s="21" t="s">
        <v>34</v>
      </c>
      <c r="C15" s="21" t="s">
        <v>35</v>
      </c>
      <c r="D15" s="63">
        <v>2022</v>
      </c>
      <c r="E15" s="22">
        <v>2023</v>
      </c>
      <c r="F15" s="22">
        <v>2024</v>
      </c>
      <c r="G15" s="22">
        <v>2025</v>
      </c>
      <c r="H15" s="22">
        <v>2026</v>
      </c>
      <c r="I15" s="22">
        <v>2028</v>
      </c>
      <c r="J15" s="22">
        <v>2030</v>
      </c>
      <c r="K15" s="22">
        <v>2032</v>
      </c>
      <c r="L15" s="22">
        <v>2035</v>
      </c>
      <c r="M15" s="22">
        <v>2040</v>
      </c>
      <c r="N15" s="64">
        <v>2045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2:34" x14ac:dyDescent="0.3">
      <c r="B16" s="73"/>
      <c r="C16" s="68">
        <v>1</v>
      </c>
      <c r="D16" s="65">
        <v>4257.665</v>
      </c>
      <c r="E16" s="10">
        <v>5312.1267232024584</v>
      </c>
      <c r="F16" s="10">
        <v>5344.3064249852432</v>
      </c>
      <c r="G16" s="10">
        <v>5391.2121110389071</v>
      </c>
      <c r="H16" s="10">
        <v>5437.6959550782622</v>
      </c>
      <c r="I16" s="10">
        <v>5517.1811968894508</v>
      </c>
      <c r="J16" s="10">
        <v>5607.6920866919363</v>
      </c>
      <c r="K16" s="10">
        <v>5694.6621691700275</v>
      </c>
      <c r="L16" s="10">
        <v>5794.9229670899376</v>
      </c>
      <c r="M16" s="10">
        <v>5959.5315361670164</v>
      </c>
      <c r="N16" s="66">
        <v>6102.9497821777577</v>
      </c>
    </row>
    <row r="17" spans="1:36" x14ac:dyDescent="0.3">
      <c r="B17" s="74"/>
      <c r="C17" s="69">
        <v>0.98505603985056001</v>
      </c>
      <c r="D17" s="65">
        <v>0</v>
      </c>
      <c r="E17" s="11">
        <v>1022.2982767975418</v>
      </c>
      <c r="F17" s="11">
        <v>2445.2866434550679</v>
      </c>
      <c r="G17" s="11">
        <v>2466.7483334271992</v>
      </c>
      <c r="H17" s="11">
        <v>2488.0170096457869</v>
      </c>
      <c r="I17" s="11">
        <v>2524.3854707137816</v>
      </c>
      <c r="J17" s="11">
        <v>2565.7987154496523</v>
      </c>
      <c r="K17" s="11">
        <v>2605.5918642986217</v>
      </c>
      <c r="L17" s="11">
        <v>2651.4661781047043</v>
      </c>
      <c r="M17" s="11">
        <v>2726.7828054374004</v>
      </c>
      <c r="N17" s="67">
        <v>2792.4038034696832</v>
      </c>
      <c r="Q17" s="44"/>
    </row>
    <row r="18" spans="1:36" x14ac:dyDescent="0.3">
      <c r="B18" s="74"/>
      <c r="C18" s="69">
        <v>0.80042016806722704</v>
      </c>
      <c r="D18" s="65">
        <v>0</v>
      </c>
      <c r="E18" s="11">
        <v>0</v>
      </c>
      <c r="F18" s="11">
        <v>2899.0197815303827</v>
      </c>
      <c r="G18" s="11">
        <v>2924.4637776118698</v>
      </c>
      <c r="H18" s="11">
        <v>2949.678945432639</v>
      </c>
      <c r="I18" s="11">
        <v>2992.7957261759511</v>
      </c>
      <c r="J18" s="11">
        <v>3041.8933712425714</v>
      </c>
      <c r="K18" s="11">
        <v>3089.0703048715513</v>
      </c>
      <c r="L18" s="11">
        <v>3143.4567889855734</v>
      </c>
      <c r="M18" s="11">
        <v>3232.7487307298888</v>
      </c>
      <c r="N18" s="67">
        <v>3310.5459787084164</v>
      </c>
    </row>
    <row r="19" spans="1:36" x14ac:dyDescent="0.3">
      <c r="B19" s="74"/>
      <c r="C19" s="69">
        <v>0.73043130990415295</v>
      </c>
      <c r="D19" s="65">
        <v>0</v>
      </c>
      <c r="E19" s="11">
        <v>0</v>
      </c>
      <c r="F19" s="11">
        <v>2541.7176235829666</v>
      </c>
      <c r="G19" s="11">
        <v>2564.0256649654693</v>
      </c>
      <c r="H19" s="11">
        <v>2586.1330810099698</v>
      </c>
      <c r="I19" s="11">
        <v>2623.9357487203088</v>
      </c>
      <c r="J19" s="11">
        <v>2666.9821434145324</v>
      </c>
      <c r="K19" s="11">
        <v>2708.3445530111603</v>
      </c>
      <c r="L19" s="11">
        <v>2756.0279410434596</v>
      </c>
      <c r="M19" s="11">
        <v>2834.314713497306</v>
      </c>
      <c r="N19" s="67">
        <v>2902.523505142246</v>
      </c>
      <c r="Q19" s="44"/>
    </row>
    <row r="20" spans="1:36" x14ac:dyDescent="0.3">
      <c r="B20" s="74"/>
      <c r="C20" s="69">
        <v>0.59652299891343696</v>
      </c>
      <c r="D20" s="65">
        <v>0</v>
      </c>
      <c r="E20" s="11">
        <v>0</v>
      </c>
      <c r="F20" s="11">
        <v>2220.2695264463382</v>
      </c>
      <c r="G20" s="11">
        <v>2827.1864460737306</v>
      </c>
      <c r="H20" s="11">
        <v>2851.5628740686898</v>
      </c>
      <c r="I20" s="11">
        <v>2893.2454481692894</v>
      </c>
      <c r="J20" s="11">
        <v>2940.7099432776413</v>
      </c>
      <c r="K20" s="11">
        <v>2986.3176161592455</v>
      </c>
      <c r="L20" s="11">
        <v>3038.8950260466918</v>
      </c>
      <c r="M20" s="11">
        <v>3125.2168226699487</v>
      </c>
      <c r="N20" s="67">
        <v>3200.4262770357436</v>
      </c>
    </row>
    <row r="21" spans="1:36" x14ac:dyDescent="0.3">
      <c r="B21" s="74"/>
      <c r="C21" s="69">
        <v>0.49562903838844502</v>
      </c>
      <c r="D21" s="65">
        <v>0</v>
      </c>
      <c r="E21" s="11">
        <v>0</v>
      </c>
      <c r="F21" s="11">
        <v>0</v>
      </c>
      <c r="G21" s="11">
        <v>1255.7586668828244</v>
      </c>
      <c r="H21" s="11">
        <v>1116.3071347646528</v>
      </c>
      <c r="I21" s="11">
        <v>877.85140933121875</v>
      </c>
      <c r="J21" s="11">
        <v>1154.3512399236606</v>
      </c>
      <c r="K21" s="11">
        <v>2845.7086737108548</v>
      </c>
      <c r="L21" s="11">
        <v>2895.8105083409719</v>
      </c>
      <c r="M21" s="11">
        <v>2978.0678958513636</v>
      </c>
      <c r="N21" s="67">
        <v>3049.7361589575557</v>
      </c>
      <c r="Q21" s="44"/>
    </row>
    <row r="22" spans="1:36" x14ac:dyDescent="0.3">
      <c r="B22" s="74"/>
      <c r="C22" s="69">
        <v>0.400151860288535</v>
      </c>
      <c r="D22" s="65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281.09231877853381</v>
      </c>
      <c r="L22" s="11">
        <v>2300.6980903886579</v>
      </c>
      <c r="M22" s="11">
        <v>2981.4636403159311</v>
      </c>
      <c r="N22" s="67">
        <v>3053.2136232206576</v>
      </c>
      <c r="Q22" s="44"/>
    </row>
    <row r="23" spans="1:36" x14ac:dyDescent="0.3">
      <c r="B23" s="74"/>
      <c r="C23" s="69">
        <v>0.28413793103448298</v>
      </c>
      <c r="D23" s="65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3282.5529828842409</v>
      </c>
      <c r="N23" s="67">
        <v>3361.5487879032698</v>
      </c>
      <c r="Q23" s="44"/>
    </row>
    <row r="24" spans="1:36" x14ac:dyDescent="0.3">
      <c r="B24" s="74"/>
      <c r="C24" s="69">
        <v>0.216913319238901</v>
      </c>
      <c r="D24" s="65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2676.9708724469056</v>
      </c>
      <c r="N24" s="67">
        <v>2741.3920833846678</v>
      </c>
      <c r="Q24" s="44"/>
    </row>
    <row r="25" spans="1:36" x14ac:dyDescent="0.3">
      <c r="B25" s="55" t="s">
        <v>36</v>
      </c>
      <c r="C25" s="17"/>
      <c r="D25" s="70">
        <f>SUM(D16:D24)</f>
        <v>4257.665</v>
      </c>
      <c r="E25" s="71">
        <f t="shared" ref="E25:N25" si="0">SUM(E16:E24)</f>
        <v>6334.4250000000002</v>
      </c>
      <c r="F25" s="71">
        <f t="shared" si="0"/>
        <v>15450.599999999999</v>
      </c>
      <c r="G25" s="71">
        <f t="shared" si="0"/>
        <v>17429.395</v>
      </c>
      <c r="H25" s="71">
        <f t="shared" si="0"/>
        <v>17429.395</v>
      </c>
      <c r="I25" s="71">
        <f t="shared" si="0"/>
        <v>17429.395</v>
      </c>
      <c r="J25" s="71">
        <f t="shared" si="0"/>
        <v>17977.427499999994</v>
      </c>
      <c r="K25" s="71">
        <f t="shared" si="0"/>
        <v>20210.787499999995</v>
      </c>
      <c r="L25" s="71">
        <f t="shared" si="0"/>
        <v>22581.277499999997</v>
      </c>
      <c r="M25" s="71">
        <f t="shared" si="0"/>
        <v>29797.65</v>
      </c>
      <c r="N25" s="72">
        <f t="shared" si="0"/>
        <v>30514.739999999998</v>
      </c>
    </row>
    <row r="26" spans="1:36" x14ac:dyDescent="0.3">
      <c r="B26" s="56" t="s">
        <v>386</v>
      </c>
      <c r="C26" s="54"/>
      <c r="D26" s="58">
        <f>INDEX($C$16:$C$24,MATCH(SMALL(D$16:D$24,COUNTIF(D$16:D$24,0)+1),D$16:D$24,0))</f>
        <v>1</v>
      </c>
      <c r="E26" s="20">
        <f t="shared" ref="E26:N26" si="1">INDEX($C$16:$C$24,MATCH(SMALL(E$16:E$24,COUNTIF(E$16:E$24,0)+1),E$16:E$24,0))</f>
        <v>0.98505603985056001</v>
      </c>
      <c r="F26" s="20">
        <f t="shared" si="1"/>
        <v>0.59652299891343696</v>
      </c>
      <c r="G26" s="20">
        <f t="shared" si="1"/>
        <v>0.49562903838844502</v>
      </c>
      <c r="H26" s="20">
        <f t="shared" si="1"/>
        <v>0.49562903838844502</v>
      </c>
      <c r="I26" s="20">
        <f t="shared" si="1"/>
        <v>0.49562903838844502</v>
      </c>
      <c r="J26" s="20">
        <f t="shared" si="1"/>
        <v>0.49562903838844502</v>
      </c>
      <c r="K26" s="20">
        <f t="shared" si="1"/>
        <v>0.400151860288535</v>
      </c>
      <c r="L26" s="20">
        <f t="shared" si="1"/>
        <v>0.400151860288535</v>
      </c>
      <c r="M26" s="20">
        <f t="shared" si="1"/>
        <v>0.216913319238901</v>
      </c>
      <c r="N26" s="59">
        <f t="shared" si="1"/>
        <v>0.216913319238901</v>
      </c>
      <c r="Q26" s="44"/>
    </row>
    <row r="27" spans="1:36" x14ac:dyDescent="0.3">
      <c r="B27" s="57" t="s">
        <v>387</v>
      </c>
      <c r="C27" s="18"/>
      <c r="D27" s="60">
        <f>D25*D26</f>
        <v>4257.665</v>
      </c>
      <c r="E27" s="61">
        <f t="shared" ref="E27:N27" si="2">E25*E26</f>
        <v>6239.7636052303833</v>
      </c>
      <c r="F27" s="61">
        <f t="shared" si="2"/>
        <v>9216.6382470119479</v>
      </c>
      <c r="G27" s="61">
        <f t="shared" si="2"/>
        <v>8638.5142835423721</v>
      </c>
      <c r="H27" s="61">
        <f t="shared" si="2"/>
        <v>8638.5142835423721</v>
      </c>
      <c r="I27" s="61">
        <f t="shared" si="2"/>
        <v>8638.5142835423721</v>
      </c>
      <c r="J27" s="61">
        <f t="shared" si="2"/>
        <v>8910.135104522984</v>
      </c>
      <c r="K27" s="61">
        <f t="shared" si="2"/>
        <v>8087.3842160212671</v>
      </c>
      <c r="L27" s="61">
        <f t="shared" si="2"/>
        <v>9035.9401993166375</v>
      </c>
      <c r="M27" s="61">
        <f t="shared" si="2"/>
        <v>6463.5071670190391</v>
      </c>
      <c r="N27" s="62">
        <f t="shared" si="2"/>
        <v>6619.0535391120611</v>
      </c>
      <c r="Q27" s="44"/>
    </row>
    <row r="28" spans="1:36" x14ac:dyDescent="0.3">
      <c r="D28" s="44"/>
    </row>
    <row r="29" spans="1:36" x14ac:dyDescent="0.3">
      <c r="A29" s="5"/>
      <c r="B29" s="75" t="s">
        <v>37</v>
      </c>
      <c r="C29" s="75">
        <v>2019</v>
      </c>
      <c r="D29" s="75">
        <v>2020</v>
      </c>
      <c r="E29" s="75">
        <v>2021</v>
      </c>
      <c r="F29" s="75">
        <v>2022</v>
      </c>
      <c r="G29" s="75">
        <v>2023</v>
      </c>
      <c r="H29" s="75">
        <v>2024</v>
      </c>
      <c r="I29" s="75">
        <v>2025</v>
      </c>
      <c r="J29" s="75">
        <v>2026</v>
      </c>
      <c r="K29" s="75">
        <v>2027</v>
      </c>
      <c r="L29" s="75">
        <v>2028</v>
      </c>
      <c r="M29" s="75">
        <v>2029</v>
      </c>
      <c r="N29" s="75">
        <v>2030</v>
      </c>
      <c r="O29" s="75">
        <v>2031</v>
      </c>
      <c r="P29" s="75">
        <v>2032</v>
      </c>
      <c r="Q29" s="75">
        <v>2033</v>
      </c>
      <c r="R29" s="75">
        <v>2034</v>
      </c>
      <c r="S29" s="75">
        <v>2035</v>
      </c>
      <c r="T29" s="75">
        <v>2036</v>
      </c>
      <c r="U29" s="75">
        <v>2037</v>
      </c>
      <c r="V29" s="75">
        <v>2038</v>
      </c>
      <c r="W29" s="75">
        <v>2039</v>
      </c>
      <c r="X29" s="75">
        <v>2040</v>
      </c>
      <c r="Y29" s="75">
        <v>2041</v>
      </c>
      <c r="Z29" s="75">
        <v>2042</v>
      </c>
      <c r="AA29" s="75">
        <v>2043</v>
      </c>
      <c r="AB29" s="75">
        <v>2044</v>
      </c>
      <c r="AC29" s="75">
        <v>2045</v>
      </c>
      <c r="AD29" s="75">
        <v>2046</v>
      </c>
      <c r="AE29" s="75">
        <v>2047</v>
      </c>
      <c r="AF29" s="75">
        <v>2048</v>
      </c>
      <c r="AG29" s="75">
        <v>2049</v>
      </c>
      <c r="AH29" s="95">
        <v>2050</v>
      </c>
      <c r="AI29" s="75">
        <v>2051</v>
      </c>
      <c r="AJ29" s="95">
        <v>2052</v>
      </c>
    </row>
    <row r="30" spans="1:36" s="19" customFormat="1" x14ac:dyDescent="0.3">
      <c r="A30" s="662" t="s">
        <v>38</v>
      </c>
      <c r="B30" s="96" t="s">
        <v>362</v>
      </c>
      <c r="C30" s="97">
        <v>10.84</v>
      </c>
      <c r="D30" s="97">
        <v>10.15</v>
      </c>
      <c r="E30" s="97">
        <v>9.23</v>
      </c>
      <c r="F30" s="97">
        <v>8.39</v>
      </c>
      <c r="G30" s="97">
        <v>7.32</v>
      </c>
      <c r="H30" s="97">
        <v>6.66</v>
      </c>
      <c r="I30" s="97">
        <v>6.17</v>
      </c>
      <c r="J30" s="97">
        <v>5.86</v>
      </c>
      <c r="K30" s="97">
        <v>5.54</v>
      </c>
      <c r="L30" s="97">
        <v>5.22</v>
      </c>
      <c r="M30" s="97">
        <v>4.9000000000000004</v>
      </c>
      <c r="N30" s="97">
        <v>4.5999999999999996</v>
      </c>
      <c r="O30" s="97">
        <v>4.53</v>
      </c>
      <c r="P30" s="97">
        <v>4.46</v>
      </c>
      <c r="Q30" s="97">
        <v>4.38</v>
      </c>
      <c r="R30" s="97">
        <v>4.33</v>
      </c>
      <c r="S30" s="97">
        <v>4.25</v>
      </c>
      <c r="T30" s="97">
        <v>4.2</v>
      </c>
      <c r="U30" s="97">
        <v>4.16</v>
      </c>
      <c r="V30" s="97">
        <v>4.1100000000000003</v>
      </c>
      <c r="W30" s="97">
        <v>4.08</v>
      </c>
      <c r="X30" s="97">
        <v>4.01</v>
      </c>
      <c r="Y30" s="97">
        <v>3.95</v>
      </c>
      <c r="Z30" s="97">
        <v>3.92</v>
      </c>
      <c r="AA30" s="97">
        <v>3.85</v>
      </c>
      <c r="AB30" s="97">
        <v>3.81</v>
      </c>
      <c r="AC30" s="97">
        <v>3.75</v>
      </c>
      <c r="AD30" s="97">
        <v>3.68</v>
      </c>
      <c r="AE30" s="97">
        <v>3.64</v>
      </c>
      <c r="AF30" s="97">
        <v>3.57</v>
      </c>
      <c r="AG30" s="97">
        <v>3.52</v>
      </c>
      <c r="AH30" s="97">
        <v>3.45</v>
      </c>
      <c r="AI30" s="100">
        <v>3.45</v>
      </c>
      <c r="AJ30" s="100">
        <v>3.45</v>
      </c>
    </row>
    <row r="31" spans="1:36" s="19" customFormat="1" x14ac:dyDescent="0.3">
      <c r="A31" s="662"/>
      <c r="B31" s="98" t="s">
        <v>40</v>
      </c>
      <c r="C31" s="97">
        <v>25.41</v>
      </c>
      <c r="D31" s="97">
        <v>23.78</v>
      </c>
      <c r="E31" s="97">
        <v>21.63</v>
      </c>
      <c r="F31" s="97">
        <v>19.66</v>
      </c>
      <c r="G31" s="97">
        <v>17.16</v>
      </c>
      <c r="H31" s="97">
        <v>15.62</v>
      </c>
      <c r="I31" s="97">
        <v>14.46</v>
      </c>
      <c r="J31" s="97">
        <v>13.72</v>
      </c>
      <c r="K31" s="97">
        <v>12.98</v>
      </c>
      <c r="L31" s="97">
        <v>12.23</v>
      </c>
      <c r="M31" s="97">
        <v>11.48</v>
      </c>
      <c r="N31" s="97">
        <v>10.79</v>
      </c>
      <c r="O31" s="97">
        <v>10.62</v>
      </c>
      <c r="P31" s="97">
        <v>10.46</v>
      </c>
      <c r="Q31" s="97">
        <v>10.26</v>
      </c>
      <c r="R31" s="97">
        <v>10.15</v>
      </c>
      <c r="S31" s="97">
        <v>9.9700000000000006</v>
      </c>
      <c r="T31" s="97">
        <v>9.85</v>
      </c>
      <c r="U31" s="97">
        <v>9.74</v>
      </c>
      <c r="V31" s="97">
        <v>9.6300000000000008</v>
      </c>
      <c r="W31" s="97">
        <v>9.56</v>
      </c>
      <c r="X31" s="97">
        <v>9.4</v>
      </c>
      <c r="Y31" s="97">
        <v>9.26</v>
      </c>
      <c r="Z31" s="97">
        <v>9.18</v>
      </c>
      <c r="AA31" s="97">
        <v>9.02</v>
      </c>
      <c r="AB31" s="97">
        <v>8.94</v>
      </c>
      <c r="AC31" s="97">
        <v>8.7899999999999991</v>
      </c>
      <c r="AD31" s="97">
        <v>8.6300000000000008</v>
      </c>
      <c r="AE31" s="97">
        <v>8.5299999999999994</v>
      </c>
      <c r="AF31" s="97">
        <v>8.3699999999999992</v>
      </c>
      <c r="AG31" s="97">
        <v>8.25</v>
      </c>
      <c r="AH31" s="97">
        <v>8.09</v>
      </c>
      <c r="AI31" s="100">
        <v>8.09</v>
      </c>
      <c r="AJ31" s="100">
        <v>8.09</v>
      </c>
    </row>
    <row r="32" spans="1:36" s="19" customFormat="1" x14ac:dyDescent="0.3">
      <c r="A32" s="662" t="s">
        <v>41</v>
      </c>
      <c r="B32" s="96" t="s">
        <v>39</v>
      </c>
      <c r="C32" s="97">
        <v>7.69</v>
      </c>
      <c r="D32" s="97">
        <v>7.69</v>
      </c>
      <c r="E32" s="97">
        <v>7.69</v>
      </c>
      <c r="F32" s="97">
        <v>7.69</v>
      </c>
      <c r="G32" s="97">
        <v>7.69</v>
      </c>
      <c r="H32" s="97">
        <v>7.69</v>
      </c>
      <c r="I32" s="97">
        <v>7.69</v>
      </c>
      <c r="J32" s="97">
        <v>7.69</v>
      </c>
      <c r="K32" s="97">
        <v>7.69</v>
      </c>
      <c r="L32" s="97">
        <v>7.69</v>
      </c>
      <c r="M32" s="97">
        <v>7.69</v>
      </c>
      <c r="N32" s="97">
        <v>7.69</v>
      </c>
      <c r="O32" s="97">
        <v>7.69</v>
      </c>
      <c r="P32" s="97">
        <v>7.69</v>
      </c>
      <c r="Q32" s="97">
        <v>7.69</v>
      </c>
      <c r="R32" s="97">
        <v>7.69</v>
      </c>
      <c r="S32" s="97">
        <v>7.69</v>
      </c>
      <c r="T32" s="97">
        <v>7.69</v>
      </c>
      <c r="U32" s="97">
        <v>7.69</v>
      </c>
      <c r="V32" s="97">
        <v>7.69</v>
      </c>
      <c r="W32" s="97">
        <v>7.69</v>
      </c>
      <c r="X32" s="97">
        <v>7.69</v>
      </c>
      <c r="Y32" s="97">
        <v>7.69</v>
      </c>
      <c r="Z32" s="97">
        <v>7.69</v>
      </c>
      <c r="AA32" s="97">
        <v>7.69</v>
      </c>
      <c r="AB32" s="97">
        <v>7.69</v>
      </c>
      <c r="AC32" s="97">
        <v>7.69</v>
      </c>
      <c r="AD32" s="97">
        <v>7.69</v>
      </c>
      <c r="AE32" s="97">
        <v>7.69</v>
      </c>
      <c r="AF32" s="97">
        <v>7.69</v>
      </c>
      <c r="AG32" s="97">
        <v>7.69</v>
      </c>
      <c r="AH32" s="97">
        <v>7.69</v>
      </c>
      <c r="AI32" s="100">
        <v>7.69</v>
      </c>
      <c r="AJ32" s="100">
        <v>7.69</v>
      </c>
    </row>
    <row r="33" spans="1:37" s="19" customFormat="1" x14ac:dyDescent="0.3">
      <c r="A33" s="662"/>
      <c r="B33" s="98" t="s">
        <v>40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100">
        <v>0</v>
      </c>
      <c r="AJ33" s="100">
        <v>0</v>
      </c>
    </row>
    <row r="34" spans="1:37" s="19" customFormat="1" x14ac:dyDescent="0.3">
      <c r="A34" s="662" t="s">
        <v>42</v>
      </c>
      <c r="B34" s="96" t="s">
        <v>39</v>
      </c>
      <c r="C34" s="97">
        <v>0.66</v>
      </c>
      <c r="D34" s="97">
        <v>0.67</v>
      </c>
      <c r="E34" s="97">
        <v>0.64</v>
      </c>
      <c r="F34" s="97">
        <v>0.6</v>
      </c>
      <c r="G34" s="97">
        <v>0.56999999999999995</v>
      </c>
      <c r="H34" s="97">
        <v>0.54</v>
      </c>
      <c r="I34" s="97">
        <v>0.5</v>
      </c>
      <c r="J34" s="97">
        <v>0.47</v>
      </c>
      <c r="K34" s="97">
        <v>0.45</v>
      </c>
      <c r="L34" s="97">
        <v>0.42</v>
      </c>
      <c r="M34" s="97">
        <v>0.39</v>
      </c>
      <c r="N34" s="97">
        <v>0.37</v>
      </c>
      <c r="O34" s="97">
        <v>0.36</v>
      </c>
      <c r="P34" s="97">
        <v>0.36</v>
      </c>
      <c r="Q34" s="97">
        <v>0.35</v>
      </c>
      <c r="R34" s="97">
        <v>0.35</v>
      </c>
      <c r="S34" s="97">
        <v>0.35</v>
      </c>
      <c r="T34" s="97">
        <v>0.34</v>
      </c>
      <c r="U34" s="97">
        <v>0.34</v>
      </c>
      <c r="V34" s="97">
        <v>0.33</v>
      </c>
      <c r="W34" s="97">
        <v>0.33</v>
      </c>
      <c r="X34" s="97">
        <v>0.32</v>
      </c>
      <c r="Y34" s="97">
        <v>0.32</v>
      </c>
      <c r="Z34" s="97">
        <v>0.31</v>
      </c>
      <c r="AA34" s="97">
        <v>0.31</v>
      </c>
      <c r="AB34" s="97">
        <v>0.3</v>
      </c>
      <c r="AC34" s="97">
        <v>0.3</v>
      </c>
      <c r="AD34" s="97">
        <v>0.28999999999999998</v>
      </c>
      <c r="AE34" s="97">
        <v>0.28999999999999998</v>
      </c>
      <c r="AF34" s="97">
        <v>0.28000000000000003</v>
      </c>
      <c r="AG34" s="97">
        <v>0.28000000000000003</v>
      </c>
      <c r="AH34" s="97">
        <v>0.28000000000000003</v>
      </c>
      <c r="AI34" s="100">
        <v>0.28000000000000003</v>
      </c>
      <c r="AJ34" s="100">
        <v>0.28000000000000003</v>
      </c>
    </row>
    <row r="35" spans="1:37" s="19" customFormat="1" x14ac:dyDescent="0.3">
      <c r="A35" s="662"/>
      <c r="B35" s="98" t="s">
        <v>40</v>
      </c>
      <c r="C35" s="97">
        <v>4.2699999999999996</v>
      </c>
      <c r="D35" s="97">
        <v>4.29</v>
      </c>
      <c r="E35" s="97">
        <v>4.08</v>
      </c>
      <c r="F35" s="97">
        <v>3.85</v>
      </c>
      <c r="G35" s="97">
        <v>3.65</v>
      </c>
      <c r="H35" s="97">
        <v>3.43</v>
      </c>
      <c r="I35" s="97">
        <v>3.19</v>
      </c>
      <c r="J35" s="97">
        <v>3.03</v>
      </c>
      <c r="K35" s="97">
        <v>2.87</v>
      </c>
      <c r="L35" s="97">
        <v>2.71</v>
      </c>
      <c r="M35" s="97">
        <v>2.5499999999999998</v>
      </c>
      <c r="N35" s="97">
        <v>2.39</v>
      </c>
      <c r="O35" s="97">
        <v>2.36</v>
      </c>
      <c r="P35" s="97">
        <v>2.34</v>
      </c>
      <c r="Q35" s="97">
        <v>2.2999999999999998</v>
      </c>
      <c r="R35" s="97">
        <v>2.2799999999999998</v>
      </c>
      <c r="S35" s="97">
        <v>2.25</v>
      </c>
      <c r="T35" s="97">
        <v>2.21</v>
      </c>
      <c r="U35" s="97">
        <v>2.19</v>
      </c>
      <c r="V35" s="97">
        <v>2.15</v>
      </c>
      <c r="W35" s="97">
        <v>2.13</v>
      </c>
      <c r="X35" s="97">
        <v>2.1</v>
      </c>
      <c r="Y35" s="97">
        <v>2.06</v>
      </c>
      <c r="Z35" s="97">
        <v>2.04</v>
      </c>
      <c r="AA35" s="97">
        <v>2</v>
      </c>
      <c r="AB35" s="97">
        <v>1.98</v>
      </c>
      <c r="AC35" s="97">
        <v>1.94</v>
      </c>
      <c r="AD35" s="97">
        <v>1.91</v>
      </c>
      <c r="AE35" s="97">
        <v>1.89</v>
      </c>
      <c r="AF35" s="97">
        <v>1.85</v>
      </c>
      <c r="AG35" s="97">
        <v>1.83</v>
      </c>
      <c r="AH35" s="97">
        <v>1.8</v>
      </c>
      <c r="AI35" s="100">
        <v>1.8</v>
      </c>
      <c r="AJ35" s="100">
        <v>1.8</v>
      </c>
    </row>
    <row r="36" spans="1:37" s="19" customFormat="1" x14ac:dyDescent="0.3">
      <c r="A36" s="662" t="s">
        <v>43</v>
      </c>
      <c r="B36" s="96" t="s">
        <v>39</v>
      </c>
      <c r="C36" s="97">
        <v>11.18</v>
      </c>
      <c r="D36" s="97">
        <v>10.46</v>
      </c>
      <c r="E36" s="97">
        <v>10.029999999999999</v>
      </c>
      <c r="F36" s="97">
        <v>9.67</v>
      </c>
      <c r="G36" s="97">
        <v>8.9499999999999993</v>
      </c>
      <c r="H36" s="97">
        <v>8.67</v>
      </c>
      <c r="I36" s="97">
        <v>8.6199999999999992</v>
      </c>
      <c r="J36" s="97">
        <v>8.59</v>
      </c>
      <c r="K36" s="97">
        <v>8.5500000000000007</v>
      </c>
      <c r="L36" s="97">
        <v>8.51</v>
      </c>
      <c r="M36" s="97">
        <v>8.4499999999999993</v>
      </c>
      <c r="N36" s="97">
        <v>8.44</v>
      </c>
      <c r="O36" s="97">
        <v>8.43</v>
      </c>
      <c r="P36" s="97">
        <v>8.39</v>
      </c>
      <c r="Q36" s="97">
        <v>8.35</v>
      </c>
      <c r="R36" s="97">
        <v>8.34</v>
      </c>
      <c r="S36" s="97">
        <v>8.32</v>
      </c>
      <c r="T36" s="97">
        <v>8.35</v>
      </c>
      <c r="U36" s="97">
        <v>8.35</v>
      </c>
      <c r="V36" s="97">
        <v>8.3800000000000008</v>
      </c>
      <c r="W36" s="97">
        <v>8.41</v>
      </c>
      <c r="X36" s="97">
        <v>8.4</v>
      </c>
      <c r="Y36" s="97">
        <v>8.42</v>
      </c>
      <c r="Z36" s="97">
        <v>8.44</v>
      </c>
      <c r="AA36" s="97">
        <v>8.44</v>
      </c>
      <c r="AB36" s="97">
        <v>8.4600000000000009</v>
      </c>
      <c r="AC36" s="97">
        <v>8.4600000000000009</v>
      </c>
      <c r="AD36" s="97">
        <v>8.4700000000000006</v>
      </c>
      <c r="AE36" s="97">
        <v>8.4700000000000006</v>
      </c>
      <c r="AF36" s="97">
        <v>8.4600000000000009</v>
      </c>
      <c r="AG36" s="97">
        <v>8.44</v>
      </c>
      <c r="AH36" s="97">
        <v>8.44</v>
      </c>
      <c r="AI36" s="100">
        <v>8.44</v>
      </c>
      <c r="AJ36" s="100">
        <v>8.44</v>
      </c>
    </row>
    <row r="37" spans="1:37" s="19" customFormat="1" x14ac:dyDescent="0.3">
      <c r="A37" s="662"/>
      <c r="B37" s="98" t="s">
        <v>40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100">
        <v>0</v>
      </c>
      <c r="AJ37" s="100">
        <v>0</v>
      </c>
    </row>
    <row r="38" spans="1:37" x14ac:dyDescent="0.3">
      <c r="A38" s="663" t="s">
        <v>44</v>
      </c>
      <c r="B38" s="99" t="s">
        <v>39</v>
      </c>
      <c r="C38" s="100">
        <f t="shared" ref="C38:AH38" si="3">C30+C32+C34+C36</f>
        <v>30.37</v>
      </c>
      <c r="D38" s="100">
        <f t="shared" si="3"/>
        <v>28.970000000000002</v>
      </c>
      <c r="E38" s="100">
        <f t="shared" si="3"/>
        <v>27.590000000000003</v>
      </c>
      <c r="F38" s="100">
        <f t="shared" si="3"/>
        <v>26.35</v>
      </c>
      <c r="G38" s="100">
        <f t="shared" si="3"/>
        <v>24.53</v>
      </c>
      <c r="H38" s="100">
        <f t="shared" si="3"/>
        <v>23.560000000000002</v>
      </c>
      <c r="I38" s="100">
        <f t="shared" si="3"/>
        <v>22.979999999999997</v>
      </c>
      <c r="J38" s="100">
        <f t="shared" si="3"/>
        <v>22.61</v>
      </c>
      <c r="K38" s="100">
        <f t="shared" si="3"/>
        <v>22.23</v>
      </c>
      <c r="L38" s="100">
        <f t="shared" si="3"/>
        <v>21.84</v>
      </c>
      <c r="M38" s="100">
        <f t="shared" si="3"/>
        <v>21.43</v>
      </c>
      <c r="N38" s="100">
        <f t="shared" si="3"/>
        <v>21.099999999999998</v>
      </c>
      <c r="O38" s="100">
        <f t="shared" si="3"/>
        <v>21.009999999999998</v>
      </c>
      <c r="P38" s="100">
        <f t="shared" si="3"/>
        <v>20.9</v>
      </c>
      <c r="Q38" s="100">
        <f t="shared" si="3"/>
        <v>20.77</v>
      </c>
      <c r="R38" s="100">
        <f t="shared" si="3"/>
        <v>20.71</v>
      </c>
      <c r="S38" s="100">
        <f t="shared" si="3"/>
        <v>20.61</v>
      </c>
      <c r="T38" s="100">
        <f t="shared" si="3"/>
        <v>20.58</v>
      </c>
      <c r="U38" s="100">
        <f t="shared" si="3"/>
        <v>20.54</v>
      </c>
      <c r="V38" s="100">
        <f t="shared" si="3"/>
        <v>20.51</v>
      </c>
      <c r="W38" s="100">
        <f t="shared" si="3"/>
        <v>20.509999999999998</v>
      </c>
      <c r="X38" s="100">
        <f t="shared" si="3"/>
        <v>20.420000000000002</v>
      </c>
      <c r="Y38" s="100">
        <f t="shared" si="3"/>
        <v>20.380000000000003</v>
      </c>
      <c r="Z38" s="100">
        <f t="shared" si="3"/>
        <v>20.36</v>
      </c>
      <c r="AA38" s="100">
        <f t="shared" si="3"/>
        <v>20.29</v>
      </c>
      <c r="AB38" s="100">
        <f t="shared" si="3"/>
        <v>20.260000000000002</v>
      </c>
      <c r="AC38" s="100">
        <f t="shared" si="3"/>
        <v>20.200000000000003</v>
      </c>
      <c r="AD38" s="100">
        <f t="shared" si="3"/>
        <v>20.130000000000003</v>
      </c>
      <c r="AE38" s="100">
        <f t="shared" si="3"/>
        <v>20.09</v>
      </c>
      <c r="AF38" s="100">
        <f t="shared" si="3"/>
        <v>20</v>
      </c>
      <c r="AG38" s="100">
        <f t="shared" si="3"/>
        <v>19.93</v>
      </c>
      <c r="AH38" s="100">
        <f t="shared" si="3"/>
        <v>19.86</v>
      </c>
      <c r="AI38" s="100">
        <f>AI30+AI32+AI34+AI36</f>
        <v>19.86</v>
      </c>
      <c r="AJ38" s="100">
        <f>AJ30+AJ32+AJ34+AJ36</f>
        <v>19.86</v>
      </c>
    </row>
    <row r="39" spans="1:37" x14ac:dyDescent="0.3">
      <c r="A39" s="663"/>
      <c r="B39" s="101" t="s">
        <v>40</v>
      </c>
      <c r="C39" s="100">
        <f t="shared" ref="C39:AH39" si="4">C31+C33+C35+C37</f>
        <v>29.68</v>
      </c>
      <c r="D39" s="100">
        <f t="shared" si="4"/>
        <v>28.07</v>
      </c>
      <c r="E39" s="100">
        <f t="shared" si="4"/>
        <v>25.71</v>
      </c>
      <c r="F39" s="100">
        <f t="shared" si="4"/>
        <v>23.51</v>
      </c>
      <c r="G39" s="100">
        <f t="shared" si="4"/>
        <v>20.81</v>
      </c>
      <c r="H39" s="100">
        <f t="shared" si="4"/>
        <v>19.05</v>
      </c>
      <c r="I39" s="100">
        <f t="shared" si="4"/>
        <v>17.650000000000002</v>
      </c>
      <c r="J39" s="100">
        <f t="shared" si="4"/>
        <v>16.75</v>
      </c>
      <c r="K39" s="100">
        <f t="shared" si="4"/>
        <v>15.850000000000001</v>
      </c>
      <c r="L39" s="100">
        <f t="shared" si="4"/>
        <v>14.940000000000001</v>
      </c>
      <c r="M39" s="100">
        <f t="shared" si="4"/>
        <v>14.030000000000001</v>
      </c>
      <c r="N39" s="100">
        <f t="shared" si="4"/>
        <v>13.18</v>
      </c>
      <c r="O39" s="100">
        <f t="shared" si="4"/>
        <v>12.979999999999999</v>
      </c>
      <c r="P39" s="100">
        <f t="shared" si="4"/>
        <v>12.8</v>
      </c>
      <c r="Q39" s="100">
        <f t="shared" si="4"/>
        <v>12.559999999999999</v>
      </c>
      <c r="R39" s="100">
        <f t="shared" si="4"/>
        <v>12.43</v>
      </c>
      <c r="S39" s="100">
        <f t="shared" si="4"/>
        <v>12.22</v>
      </c>
      <c r="T39" s="100">
        <f t="shared" si="4"/>
        <v>12.059999999999999</v>
      </c>
      <c r="U39" s="100">
        <f t="shared" si="4"/>
        <v>11.93</v>
      </c>
      <c r="V39" s="100">
        <f t="shared" si="4"/>
        <v>11.780000000000001</v>
      </c>
      <c r="W39" s="100">
        <f t="shared" si="4"/>
        <v>11.690000000000001</v>
      </c>
      <c r="X39" s="100">
        <f t="shared" si="4"/>
        <v>11.5</v>
      </c>
      <c r="Y39" s="100">
        <f t="shared" si="4"/>
        <v>11.32</v>
      </c>
      <c r="Z39" s="100">
        <f t="shared" si="4"/>
        <v>11.219999999999999</v>
      </c>
      <c r="AA39" s="100">
        <f t="shared" si="4"/>
        <v>11.02</v>
      </c>
      <c r="AB39" s="100">
        <f t="shared" si="4"/>
        <v>10.92</v>
      </c>
      <c r="AC39" s="100">
        <f t="shared" si="4"/>
        <v>10.729999999999999</v>
      </c>
      <c r="AD39" s="100">
        <f t="shared" si="4"/>
        <v>10.540000000000001</v>
      </c>
      <c r="AE39" s="100">
        <f t="shared" si="4"/>
        <v>10.42</v>
      </c>
      <c r="AF39" s="100">
        <f t="shared" si="4"/>
        <v>10.219999999999999</v>
      </c>
      <c r="AG39" s="100">
        <f t="shared" si="4"/>
        <v>10.08</v>
      </c>
      <c r="AH39" s="100">
        <f t="shared" si="4"/>
        <v>9.89</v>
      </c>
      <c r="AI39" s="100">
        <f>AI31+AI33+AI35+AI37</f>
        <v>9.89</v>
      </c>
      <c r="AJ39" s="100">
        <f>AJ31+AJ33+AJ35+AJ37</f>
        <v>9.89</v>
      </c>
    </row>
    <row r="40" spans="1:37" x14ac:dyDescent="0.3">
      <c r="A40" s="102"/>
      <c r="B40" s="103"/>
      <c r="C40" s="105"/>
      <c r="D40" s="10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7" x14ac:dyDescent="0.3">
      <c r="A41" s="19"/>
      <c r="B41" s="107" t="s">
        <v>13</v>
      </c>
      <c r="C41" s="605">
        <f t="shared" ref="C41:AH41" si="5">C38</f>
        <v>30.37</v>
      </c>
      <c r="D41" s="605">
        <f t="shared" si="5"/>
        <v>28.970000000000002</v>
      </c>
      <c r="E41" s="605">
        <f t="shared" si="5"/>
        <v>27.590000000000003</v>
      </c>
      <c r="F41" s="605">
        <f t="shared" si="5"/>
        <v>26.35</v>
      </c>
      <c r="G41" s="605">
        <f t="shared" si="5"/>
        <v>24.53</v>
      </c>
      <c r="H41" s="605">
        <f t="shared" si="5"/>
        <v>23.560000000000002</v>
      </c>
      <c r="I41" s="605">
        <f t="shared" si="5"/>
        <v>22.979999999999997</v>
      </c>
      <c r="J41" s="605">
        <f t="shared" si="5"/>
        <v>22.61</v>
      </c>
      <c r="K41" s="605">
        <f t="shared" si="5"/>
        <v>22.23</v>
      </c>
      <c r="L41" s="605">
        <f t="shared" si="5"/>
        <v>21.84</v>
      </c>
      <c r="M41" s="605">
        <f t="shared" si="5"/>
        <v>21.43</v>
      </c>
      <c r="N41" s="605">
        <f t="shared" si="5"/>
        <v>21.099999999999998</v>
      </c>
      <c r="O41" s="605">
        <f t="shared" si="5"/>
        <v>21.009999999999998</v>
      </c>
      <c r="P41" s="605">
        <f t="shared" si="5"/>
        <v>20.9</v>
      </c>
      <c r="Q41" s="605">
        <f t="shared" si="5"/>
        <v>20.77</v>
      </c>
      <c r="R41" s="605">
        <f t="shared" si="5"/>
        <v>20.71</v>
      </c>
      <c r="S41" s="605">
        <f t="shared" si="5"/>
        <v>20.61</v>
      </c>
      <c r="T41" s="605">
        <f t="shared" si="5"/>
        <v>20.58</v>
      </c>
      <c r="U41" s="605">
        <f t="shared" si="5"/>
        <v>20.54</v>
      </c>
      <c r="V41" s="605">
        <f t="shared" si="5"/>
        <v>20.51</v>
      </c>
      <c r="W41" s="605">
        <f t="shared" si="5"/>
        <v>20.509999999999998</v>
      </c>
      <c r="X41" s="605">
        <f t="shared" si="5"/>
        <v>20.420000000000002</v>
      </c>
      <c r="Y41" s="605">
        <f t="shared" si="5"/>
        <v>20.380000000000003</v>
      </c>
      <c r="Z41" s="605">
        <f t="shared" si="5"/>
        <v>20.36</v>
      </c>
      <c r="AA41" s="605">
        <f t="shared" si="5"/>
        <v>20.29</v>
      </c>
      <c r="AB41" s="605">
        <f t="shared" si="5"/>
        <v>20.260000000000002</v>
      </c>
      <c r="AC41" s="605">
        <f t="shared" si="5"/>
        <v>20.200000000000003</v>
      </c>
      <c r="AD41" s="605">
        <f t="shared" si="5"/>
        <v>20.130000000000003</v>
      </c>
      <c r="AE41" s="605">
        <f t="shared" si="5"/>
        <v>20.09</v>
      </c>
      <c r="AF41" s="605">
        <f t="shared" si="5"/>
        <v>20</v>
      </c>
      <c r="AG41" s="605">
        <f t="shared" si="5"/>
        <v>19.93</v>
      </c>
      <c r="AH41" s="606">
        <f t="shared" si="5"/>
        <v>19.86</v>
      </c>
      <c r="AI41" s="606">
        <f>AI38</f>
        <v>19.86</v>
      </c>
      <c r="AJ41" s="606">
        <f>AJ38</f>
        <v>19.86</v>
      </c>
    </row>
    <row r="42" spans="1:37" x14ac:dyDescent="0.3">
      <c r="A42" s="19"/>
      <c r="B42" s="108" t="str">
        <f>"Energy x " &amp;C8</f>
        <v>Energy x 4</v>
      </c>
      <c r="C42" s="607">
        <f t="shared" ref="C42:AH42" si="6">C39*$C$8</f>
        <v>118.72</v>
      </c>
      <c r="D42" s="607">
        <f t="shared" si="6"/>
        <v>112.28</v>
      </c>
      <c r="E42" s="607">
        <f>E39*$C$8</f>
        <v>102.84</v>
      </c>
      <c r="F42" s="607">
        <f t="shared" si="6"/>
        <v>94.04</v>
      </c>
      <c r="G42" s="607">
        <f t="shared" si="6"/>
        <v>83.24</v>
      </c>
      <c r="H42" s="607">
        <f t="shared" si="6"/>
        <v>76.2</v>
      </c>
      <c r="I42" s="607">
        <f t="shared" si="6"/>
        <v>70.600000000000009</v>
      </c>
      <c r="J42" s="607">
        <f t="shared" si="6"/>
        <v>67</v>
      </c>
      <c r="K42" s="607">
        <f t="shared" si="6"/>
        <v>63.400000000000006</v>
      </c>
      <c r="L42" s="607">
        <f t="shared" si="6"/>
        <v>59.760000000000005</v>
      </c>
      <c r="M42" s="607">
        <f t="shared" si="6"/>
        <v>56.120000000000005</v>
      </c>
      <c r="N42" s="607">
        <f t="shared" si="6"/>
        <v>52.72</v>
      </c>
      <c r="O42" s="607">
        <f t="shared" si="6"/>
        <v>51.919999999999995</v>
      </c>
      <c r="P42" s="607">
        <f t="shared" si="6"/>
        <v>51.2</v>
      </c>
      <c r="Q42" s="607">
        <f t="shared" si="6"/>
        <v>50.239999999999995</v>
      </c>
      <c r="R42" s="607">
        <f t="shared" si="6"/>
        <v>49.72</v>
      </c>
      <c r="S42" s="607">
        <f t="shared" si="6"/>
        <v>48.88</v>
      </c>
      <c r="T42" s="607">
        <f t="shared" si="6"/>
        <v>48.239999999999995</v>
      </c>
      <c r="U42" s="607">
        <f t="shared" si="6"/>
        <v>47.72</v>
      </c>
      <c r="V42" s="607">
        <f t="shared" si="6"/>
        <v>47.120000000000005</v>
      </c>
      <c r="W42" s="607">
        <f t="shared" si="6"/>
        <v>46.760000000000005</v>
      </c>
      <c r="X42" s="607">
        <f t="shared" si="6"/>
        <v>46</v>
      </c>
      <c r="Y42" s="607">
        <f t="shared" si="6"/>
        <v>45.28</v>
      </c>
      <c r="Z42" s="607">
        <f t="shared" si="6"/>
        <v>44.879999999999995</v>
      </c>
      <c r="AA42" s="607">
        <f t="shared" si="6"/>
        <v>44.08</v>
      </c>
      <c r="AB42" s="607">
        <f t="shared" si="6"/>
        <v>43.68</v>
      </c>
      <c r="AC42" s="607">
        <f t="shared" si="6"/>
        <v>42.919999999999995</v>
      </c>
      <c r="AD42" s="607">
        <f t="shared" si="6"/>
        <v>42.160000000000004</v>
      </c>
      <c r="AE42" s="607">
        <f t="shared" si="6"/>
        <v>41.68</v>
      </c>
      <c r="AF42" s="607">
        <f t="shared" si="6"/>
        <v>40.879999999999995</v>
      </c>
      <c r="AG42" s="607">
        <f t="shared" si="6"/>
        <v>40.32</v>
      </c>
      <c r="AH42" s="608">
        <f t="shared" si="6"/>
        <v>39.56</v>
      </c>
      <c r="AI42" s="608">
        <f>AI39*$C$8</f>
        <v>39.56</v>
      </c>
      <c r="AJ42" s="608">
        <f>AJ39*$C$8</f>
        <v>39.56</v>
      </c>
    </row>
    <row r="43" spans="1:37" x14ac:dyDescent="0.3">
      <c r="A43" s="19"/>
      <c r="B43" s="109" t="s">
        <v>14</v>
      </c>
      <c r="C43" s="605">
        <f>C41+C42</f>
        <v>149.09</v>
      </c>
      <c r="D43" s="605">
        <f t="shared" ref="D43:AJ43" si="7">D41+D42</f>
        <v>141.25</v>
      </c>
      <c r="E43" s="605">
        <f t="shared" si="7"/>
        <v>130.43</v>
      </c>
      <c r="F43" s="605">
        <f t="shared" si="7"/>
        <v>120.39000000000001</v>
      </c>
      <c r="G43" s="605">
        <f t="shared" si="7"/>
        <v>107.77</v>
      </c>
      <c r="H43" s="605">
        <f t="shared" si="7"/>
        <v>99.76</v>
      </c>
      <c r="I43" s="605">
        <f t="shared" si="7"/>
        <v>93.580000000000013</v>
      </c>
      <c r="J43" s="605">
        <f t="shared" si="7"/>
        <v>89.61</v>
      </c>
      <c r="K43" s="605">
        <f t="shared" si="7"/>
        <v>85.63000000000001</v>
      </c>
      <c r="L43" s="605">
        <f t="shared" si="7"/>
        <v>81.600000000000009</v>
      </c>
      <c r="M43" s="605">
        <f t="shared" si="7"/>
        <v>77.550000000000011</v>
      </c>
      <c r="N43" s="605">
        <f t="shared" si="7"/>
        <v>73.819999999999993</v>
      </c>
      <c r="O43" s="605">
        <f t="shared" si="7"/>
        <v>72.929999999999993</v>
      </c>
      <c r="P43" s="605">
        <f t="shared" si="7"/>
        <v>72.099999999999994</v>
      </c>
      <c r="Q43" s="605">
        <f t="shared" si="7"/>
        <v>71.009999999999991</v>
      </c>
      <c r="R43" s="605">
        <f t="shared" si="7"/>
        <v>70.430000000000007</v>
      </c>
      <c r="S43" s="605">
        <f t="shared" si="7"/>
        <v>69.490000000000009</v>
      </c>
      <c r="T43" s="605">
        <f t="shared" si="7"/>
        <v>68.819999999999993</v>
      </c>
      <c r="U43" s="605">
        <f t="shared" si="7"/>
        <v>68.259999999999991</v>
      </c>
      <c r="V43" s="605">
        <f t="shared" si="7"/>
        <v>67.63000000000001</v>
      </c>
      <c r="W43" s="605">
        <f t="shared" si="7"/>
        <v>67.27000000000001</v>
      </c>
      <c r="X43" s="605">
        <f t="shared" si="7"/>
        <v>66.42</v>
      </c>
      <c r="Y43" s="605">
        <f t="shared" si="7"/>
        <v>65.66</v>
      </c>
      <c r="Z43" s="605">
        <f t="shared" si="7"/>
        <v>65.239999999999995</v>
      </c>
      <c r="AA43" s="605">
        <f t="shared" si="7"/>
        <v>64.37</v>
      </c>
      <c r="AB43" s="605">
        <f t="shared" si="7"/>
        <v>63.94</v>
      </c>
      <c r="AC43" s="605">
        <f t="shared" si="7"/>
        <v>63.12</v>
      </c>
      <c r="AD43" s="605">
        <f t="shared" si="7"/>
        <v>62.290000000000006</v>
      </c>
      <c r="AE43" s="605">
        <f t="shared" si="7"/>
        <v>61.769999999999996</v>
      </c>
      <c r="AF43" s="605">
        <f t="shared" si="7"/>
        <v>60.879999999999995</v>
      </c>
      <c r="AG43" s="605">
        <f t="shared" si="7"/>
        <v>60.25</v>
      </c>
      <c r="AH43" s="606">
        <f t="shared" si="7"/>
        <v>59.42</v>
      </c>
      <c r="AI43" s="606">
        <f t="shared" si="7"/>
        <v>59.42</v>
      </c>
      <c r="AJ43" s="606">
        <f t="shared" si="7"/>
        <v>59.42</v>
      </c>
    </row>
    <row r="44" spans="1:37" x14ac:dyDescent="0.3">
      <c r="A44" s="19"/>
      <c r="B44" s="109" t="s">
        <v>15</v>
      </c>
      <c r="C44" s="609">
        <f t="shared" ref="C44:AJ44" si="8">C43*(1+$C$9)^(C$29-$C$12)</f>
        <v>152.0718</v>
      </c>
      <c r="D44" s="609">
        <f t="shared" si="8"/>
        <v>146.95650000000001</v>
      </c>
      <c r="E44" s="609">
        <f t="shared" si="8"/>
        <v>138.41335943999999</v>
      </c>
      <c r="F44" s="609">
        <f t="shared" si="8"/>
        <v>130.31400774240001</v>
      </c>
      <c r="G44" s="609">
        <f t="shared" si="8"/>
        <v>118.98678816086399</v>
      </c>
      <c r="H44" s="609">
        <f t="shared" si="8"/>
        <v>112.34596294577665</v>
      </c>
      <c r="I44" s="609">
        <f t="shared" si="8"/>
        <v>107.49400477861963</v>
      </c>
      <c r="J44" s="609">
        <f t="shared" si="8"/>
        <v>104.99239713161302</v>
      </c>
      <c r="K44" s="609">
        <f t="shared" si="8"/>
        <v>102.33577665112848</v>
      </c>
      <c r="L44" s="609">
        <f t="shared" si="8"/>
        <v>99.469944671572193</v>
      </c>
      <c r="M44" s="609">
        <f t="shared" si="8"/>
        <v>96.423677616005278</v>
      </c>
      <c r="N44" s="609">
        <f t="shared" si="8"/>
        <v>93.621609274607081</v>
      </c>
      <c r="O44" s="609">
        <f t="shared" si="8"/>
        <v>94.342731558995339</v>
      </c>
      <c r="P44" s="609">
        <f t="shared" si="8"/>
        <v>95.134418816833076</v>
      </c>
      <c r="Q44" s="609">
        <f t="shared" si="8"/>
        <v>95.570110704396399</v>
      </c>
      <c r="R44" s="609">
        <f t="shared" si="8"/>
        <v>96.685297209531811</v>
      </c>
      <c r="S44" s="609">
        <f t="shared" si="8"/>
        <v>97.30277621968159</v>
      </c>
      <c r="T44" s="609">
        <f t="shared" si="8"/>
        <v>98.291906758199076</v>
      </c>
      <c r="U44" s="609">
        <f t="shared" si="8"/>
        <v>99.441930636747486</v>
      </c>
      <c r="V44" s="609">
        <f t="shared" si="8"/>
        <v>100.4946223900161</v>
      </c>
      <c r="W44" s="609">
        <f t="shared" si="8"/>
        <v>101.95887495401317</v>
      </c>
      <c r="X44" s="609">
        <f t="shared" si="8"/>
        <v>102.68396973293393</v>
      </c>
      <c r="Y44" s="609">
        <f t="shared" si="8"/>
        <v>103.53920568680712</v>
      </c>
      <c r="Z44" s="609">
        <f t="shared" si="8"/>
        <v>104.93444615576367</v>
      </c>
      <c r="AA44" s="609">
        <f t="shared" si="8"/>
        <v>105.60580786369465</v>
      </c>
      <c r="AB44" s="609">
        <f t="shared" si="8"/>
        <v>106.99835423179631</v>
      </c>
      <c r="AC44" s="609">
        <f t="shared" si="8"/>
        <v>107.73867440558651</v>
      </c>
      <c r="AD44" s="609">
        <f t="shared" si="8"/>
        <v>108.44839780257392</v>
      </c>
      <c r="AE44" s="609">
        <f t="shared" si="8"/>
        <v>109.69392651967071</v>
      </c>
      <c r="AF44" s="609">
        <f t="shared" si="8"/>
        <v>110.27569324021215</v>
      </c>
      <c r="AG44" s="609">
        <f t="shared" si="8"/>
        <v>111.31722615107157</v>
      </c>
      <c r="AH44" s="610">
        <f t="shared" si="8"/>
        <v>111.97940198264908</v>
      </c>
      <c r="AI44" s="610">
        <f t="shared" si="8"/>
        <v>114.21899002230207</v>
      </c>
      <c r="AJ44" s="610">
        <f t="shared" si="8"/>
        <v>116.5033698227481</v>
      </c>
    </row>
    <row r="45" spans="1:37" x14ac:dyDescent="0.3">
      <c r="A45" s="19"/>
      <c r="B45" s="109" t="s">
        <v>16</v>
      </c>
      <c r="C45" s="110">
        <f>D45</f>
        <v>1</v>
      </c>
      <c r="D45" s="110">
        <f>E45</f>
        <v>1</v>
      </c>
      <c r="E45" s="110">
        <f>F45</f>
        <v>1</v>
      </c>
      <c r="F45" s="612">
        <f>D26</f>
        <v>1</v>
      </c>
      <c r="G45" s="612">
        <f>E26</f>
        <v>0.98505603985056001</v>
      </c>
      <c r="H45" s="612">
        <f>F26</f>
        <v>0.59652299891343696</v>
      </c>
      <c r="I45" s="612">
        <f>G26</f>
        <v>0.49562903838844502</v>
      </c>
      <c r="J45" s="612">
        <f>H26</f>
        <v>0.49562903838844502</v>
      </c>
      <c r="K45" s="110">
        <f>(L45-J45)/(L29-J29)+J45</f>
        <v>0.49562903838844502</v>
      </c>
      <c r="L45" s="612">
        <f>I26</f>
        <v>0.49562903838844502</v>
      </c>
      <c r="M45" s="110">
        <f>(N45-L45)/(N29-L29)+L45</f>
        <v>0.49562903838844502</v>
      </c>
      <c r="N45" s="612">
        <f>J26</f>
        <v>0.49562903838844502</v>
      </c>
      <c r="O45" s="110">
        <f>(P45-N45)/(P29-N29)+N45</f>
        <v>0.44789044933848998</v>
      </c>
      <c r="P45" s="612">
        <f>K26</f>
        <v>0.400151860288535</v>
      </c>
      <c r="Q45" s="110">
        <f>($S$45-$P$45)/($S$29-$P$29)+P45</f>
        <v>0.400151860288535</v>
      </c>
      <c r="R45" s="110">
        <f>($S$45-$P$45)/($S$29-$P$29)+Q45</f>
        <v>0.400151860288535</v>
      </c>
      <c r="S45" s="612">
        <f>L26</f>
        <v>0.400151860288535</v>
      </c>
      <c r="T45" s="110">
        <f>($X$45-$S$45)/($X$29-$S$29)+S45</f>
        <v>0.3635041520786082</v>
      </c>
      <c r="U45" s="110">
        <f>($X$45-$S$45)/($X$29-$S$29)+T45</f>
        <v>0.3268564438686814</v>
      </c>
      <c r="V45" s="110">
        <f>($X$45-$S$45)/($X$29-$S$29)+U45</f>
        <v>0.2902087356587546</v>
      </c>
      <c r="W45" s="110">
        <f>($X$45-$S$45)/($X$29-$S$29)+V45</f>
        <v>0.2535610274488278</v>
      </c>
      <c r="X45" s="612">
        <f>M26</f>
        <v>0.216913319238901</v>
      </c>
      <c r="Y45" s="110">
        <f>($AC$45-$X$45)/($AC$29-$X$29)+X45</f>
        <v>0.216913319238901</v>
      </c>
      <c r="Z45" s="110">
        <f>($AC$45-$X$45)/($AC$29-$X$29)+Y45</f>
        <v>0.216913319238901</v>
      </c>
      <c r="AA45" s="110">
        <f>($AC$45-$X$45)/($AC$29-$X$29)+Z45</f>
        <v>0.216913319238901</v>
      </c>
      <c r="AB45" s="110">
        <f>($AC$45-$X$45)/($AC$29-$X$29)+AA45</f>
        <v>0.216913319238901</v>
      </c>
      <c r="AC45" s="612">
        <f>N26</f>
        <v>0.216913319238901</v>
      </c>
      <c r="AD45" s="110" cm="1">
        <f t="array" ref="AD45:AJ45">TREND(Z45:AC45,Z29:AC29,AD29:AJ29)</f>
        <v>0.216913319238901</v>
      </c>
      <c r="AE45" s="110">
        <v>0.216913319238901</v>
      </c>
      <c r="AF45" s="110">
        <v>0.216913319238901</v>
      </c>
      <c r="AG45" s="110">
        <v>0.216913319238901</v>
      </c>
      <c r="AH45" s="613">
        <v>0.216913319238901</v>
      </c>
      <c r="AI45" s="613">
        <v>0.216913319238901</v>
      </c>
      <c r="AJ45" s="613">
        <v>0.216913319238901</v>
      </c>
    </row>
    <row r="46" spans="1:37" x14ac:dyDescent="0.3">
      <c r="A46" s="19"/>
      <c r="B46" s="111" t="s">
        <v>17</v>
      </c>
      <c r="C46" s="611">
        <f t="shared" ref="C46:AJ46" si="9">C44/C45</f>
        <v>152.0718</v>
      </c>
      <c r="D46" s="611">
        <f t="shared" si="9"/>
        <v>146.95650000000001</v>
      </c>
      <c r="E46" s="611">
        <f t="shared" si="9"/>
        <v>138.41335943999999</v>
      </c>
      <c r="F46" s="611">
        <f t="shared" si="9"/>
        <v>130.31400774240001</v>
      </c>
      <c r="G46" s="611">
        <f t="shared" si="9"/>
        <v>120.79189746292519</v>
      </c>
      <c r="H46" s="611">
        <f t="shared" si="9"/>
        <v>188.3346713377592</v>
      </c>
      <c r="I46" s="607">
        <f t="shared" si="9"/>
        <v>216.88399277035927</v>
      </c>
      <c r="J46" s="607">
        <f t="shared" si="9"/>
        <v>211.83665402858443</v>
      </c>
      <c r="K46" s="607">
        <f t="shared" si="9"/>
        <v>206.47655549779086</v>
      </c>
      <c r="L46" s="607">
        <f t="shared" si="9"/>
        <v>200.69434388873211</v>
      </c>
      <c r="M46" s="607">
        <f t="shared" si="9"/>
        <v>194.54807960713967</v>
      </c>
      <c r="N46" s="607">
        <f t="shared" si="9"/>
        <v>188.89451993979407</v>
      </c>
      <c r="O46" s="607">
        <f t="shared" si="9"/>
        <v>210.63796224798824</v>
      </c>
      <c r="P46" s="607">
        <f t="shared" si="9"/>
        <v>237.74578668267367</v>
      </c>
      <c r="Q46" s="607">
        <f t="shared" si="9"/>
        <v>238.83460303166967</v>
      </c>
      <c r="R46" s="607">
        <f t="shared" si="9"/>
        <v>241.62151124279555</v>
      </c>
      <c r="S46" s="607">
        <f t="shared" si="9"/>
        <v>243.16462292470686</v>
      </c>
      <c r="T46" s="607">
        <f t="shared" si="9"/>
        <v>270.40105648351255</v>
      </c>
      <c r="U46" s="607">
        <f t="shared" si="9"/>
        <v>304.23732651481549</v>
      </c>
      <c r="V46" s="607">
        <f t="shared" si="9"/>
        <v>346.28393305218731</v>
      </c>
      <c r="W46" s="607">
        <f t="shared" si="9"/>
        <v>402.10783171159812</v>
      </c>
      <c r="X46" s="607">
        <f t="shared" si="9"/>
        <v>473.38711192668291</v>
      </c>
      <c r="Y46" s="607">
        <f t="shared" si="9"/>
        <v>477.32986637290139</v>
      </c>
      <c r="Z46" s="607">
        <f t="shared" si="9"/>
        <v>483.76211531848082</v>
      </c>
      <c r="AA46" s="607">
        <f t="shared" si="9"/>
        <v>486.8571844008527</v>
      </c>
      <c r="AB46" s="607">
        <f t="shared" si="9"/>
        <v>493.27701317387493</v>
      </c>
      <c r="AC46" s="607">
        <f t="shared" si="9"/>
        <v>496.68999019339503</v>
      </c>
      <c r="AD46" s="607">
        <f>AD44/AD45</f>
        <v>499.96191189685555</v>
      </c>
      <c r="AE46" s="607">
        <f t="shared" si="9"/>
        <v>505.70396923785728</v>
      </c>
      <c r="AF46" s="607">
        <f t="shared" si="9"/>
        <v>508.3859932029265</v>
      </c>
      <c r="AG46" s="607">
        <f t="shared" si="9"/>
        <v>513.18760204148884</v>
      </c>
      <c r="AH46" s="608">
        <f t="shared" si="9"/>
        <v>516.2403229804379</v>
      </c>
      <c r="AI46" s="608">
        <f t="shared" si="9"/>
        <v>526.56512944004669</v>
      </c>
      <c r="AJ46" s="608">
        <f t="shared" si="9"/>
        <v>537.09643202884752</v>
      </c>
    </row>
    <row r="47" spans="1:37" x14ac:dyDescent="0.3">
      <c r="A47" s="19"/>
      <c r="B47" s="28"/>
      <c r="C47" s="112"/>
      <c r="D47" s="112"/>
      <c r="E47" s="112"/>
      <c r="F47" s="112"/>
      <c r="G47" s="112"/>
      <c r="H47" s="112"/>
      <c r="I47" s="112"/>
      <c r="J47" s="112"/>
      <c r="K47" s="112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</row>
    <row r="48" spans="1:37" x14ac:dyDescent="0.3">
      <c r="A48" s="19"/>
      <c r="B48" s="28"/>
      <c r="C48" s="5"/>
      <c r="F48" s="5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</row>
    <row r="49" spans="6:37" x14ac:dyDescent="0.3">
      <c r="F49" s="5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66" spans="1:55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55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55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</row>
    <row r="69" spans="1:55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</row>
    <row r="71" spans="1:5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</row>
    <row r="72" spans="1:5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</row>
    <row r="73" spans="1:5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5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</row>
    <row r="75" spans="1:55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</row>
    <row r="76" spans="1:55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</row>
    <row r="77" spans="1:55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</row>
    <row r="78" spans="1:55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</row>
    <row r="79" spans="1:55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</row>
    <row r="80" spans="1:55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1:55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1:55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1:55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</row>
    <row r="84" spans="1:55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</row>
    <row r="85" spans="1:55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</row>
    <row r="86" spans="1:55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</row>
    <row r="87" spans="1:55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</row>
    <row r="88" spans="1:55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</row>
    <row r="89" spans="1:55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</row>
    <row r="90" spans="1:55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</row>
    <row r="91" spans="1:55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</row>
    <row r="92" spans="1:55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</row>
    <row r="93" spans="1:55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</row>
    <row r="94" spans="1:55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</row>
    <row r="95" spans="1:55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</row>
    <row r="96" spans="1:55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</row>
    <row r="97" spans="1:86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</row>
    <row r="98" spans="1:86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</row>
    <row r="99" spans="1:86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</row>
    <row r="100" spans="1:86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</row>
    <row r="101" spans="1:86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</row>
    <row r="102" spans="1:86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</row>
    <row r="103" spans="1:86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</row>
    <row r="104" spans="1:86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</row>
    <row r="105" spans="1:86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</row>
    <row r="106" spans="1:86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</row>
    <row r="107" spans="1:86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</row>
    <row r="108" spans="1:86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</row>
    <row r="109" spans="1:86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</row>
    <row r="110" spans="1:86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</row>
    <row r="111" spans="1:86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</row>
    <row r="112" spans="1:86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R112" s="5"/>
      <c r="CH112" s="5"/>
    </row>
    <row r="113" spans="1:55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</row>
    <row r="114" spans="1:55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</row>
    <row r="115" spans="1:55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</row>
    <row r="116" spans="1:55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</row>
    <row r="117" spans="1:55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</row>
    <row r="118" spans="1:55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</row>
    <row r="119" spans="1:55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</row>
    <row r="120" spans="1:55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</row>
    <row r="121" spans="1:55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</row>
    <row r="122" spans="1:55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</row>
    <row r="123" spans="1:55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</row>
    <row r="124" spans="1:55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</row>
    <row r="125" spans="1:55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</row>
    <row r="126" spans="1:55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</row>
    <row r="127" spans="1:55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</row>
    <row r="128" spans="1:55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</row>
    <row r="129" spans="1:55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</row>
    <row r="130" spans="1:55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</row>
    <row r="131" spans="1:55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</row>
    <row r="132" spans="1:55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</row>
    <row r="133" spans="1:55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</row>
    <row r="134" spans="1:55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</row>
    <row r="135" spans="1:55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</row>
    <row r="136" spans="1:55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</row>
    <row r="137" spans="1:55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</row>
    <row r="138" spans="1:55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</row>
    <row r="139" spans="1:55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</row>
    <row r="140" spans="1:55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</row>
    <row r="141" spans="1:55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</row>
    <row r="142" spans="1:55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</row>
    <row r="143" spans="1:55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55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70" spans="1:14" x14ac:dyDescent="0.3">
      <c r="B170" s="5"/>
    </row>
    <row r="171" spans="1:14" x14ac:dyDescent="0.3">
      <c r="B171" s="5"/>
    </row>
    <row r="173" spans="1:14" x14ac:dyDescent="0.3">
      <c r="B173" s="5"/>
    </row>
  </sheetData>
  <mergeCells count="5">
    <mergeCell ref="A34:A35"/>
    <mergeCell ref="A30:A31"/>
    <mergeCell ref="A32:A33"/>
    <mergeCell ref="A38:A39"/>
    <mergeCell ref="A36:A37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56A-04E3-4394-9C35-BAC08E47E852}">
  <sheetPr>
    <tabColor theme="5"/>
    <pageSetUpPr fitToPage="1"/>
  </sheetPr>
  <dimension ref="A1:O341"/>
  <sheetViews>
    <sheetView zoomScale="85" zoomScaleNormal="85" workbookViewId="0">
      <selection activeCell="F4" sqref="F4"/>
    </sheetView>
  </sheetViews>
  <sheetFormatPr defaultColWidth="8.6640625" defaultRowHeight="14.4" x14ac:dyDescent="0.3"/>
  <cols>
    <col min="1" max="1" width="21.44140625" style="19" customWidth="1"/>
    <col min="2" max="2" width="31.44140625" style="19" bestFit="1" customWidth="1"/>
    <col min="3" max="3" width="5.6640625" style="19" customWidth="1"/>
    <col min="4" max="4" width="30.44140625" style="19" customWidth="1"/>
    <col min="5" max="5" width="9" style="19" customWidth="1"/>
    <col min="6" max="7" width="26.33203125" style="19" customWidth="1"/>
    <col min="8" max="8" width="14.6640625" style="19" bestFit="1" customWidth="1"/>
    <col min="9" max="9" width="11.33203125" style="19" customWidth="1"/>
    <col min="10" max="10" width="24.6640625" style="19" bestFit="1" customWidth="1"/>
    <col min="11" max="11" width="19.44140625" style="19" customWidth="1"/>
    <col min="12" max="14" width="14.33203125" style="19" customWidth="1"/>
    <col min="15" max="15" width="5.33203125" style="19" customWidth="1"/>
    <col min="16" max="16" width="11" style="19" bestFit="1" customWidth="1"/>
    <col min="17" max="19" width="13.6640625" style="19" customWidth="1"/>
    <col min="20" max="20" width="11.44140625" style="19" customWidth="1"/>
    <col min="21" max="16384" width="8.6640625" style="19"/>
  </cols>
  <sheetData>
    <row r="1" spans="1:11" s="28" customFormat="1" ht="25.8" x14ac:dyDescent="0.5">
      <c r="A1" s="12" t="s">
        <v>45</v>
      </c>
      <c r="B1" s="13"/>
      <c r="D1" s="13"/>
      <c r="H1" s="185"/>
      <c r="J1" s="19"/>
    </row>
    <row r="2" spans="1:11" x14ac:dyDescent="0.3">
      <c r="A2" s="28" t="s">
        <v>46</v>
      </c>
      <c r="H2" s="185"/>
    </row>
    <row r="4" spans="1:11" x14ac:dyDescent="0.3">
      <c r="A4" s="76"/>
      <c r="B4" s="76" t="s">
        <v>47</v>
      </c>
      <c r="D4" s="76" t="s">
        <v>14</v>
      </c>
      <c r="E4" s="76" t="s">
        <v>48</v>
      </c>
    </row>
    <row r="5" spans="1:11" ht="12.75" customHeight="1" x14ac:dyDescent="0.3">
      <c r="A5" s="19" t="s">
        <v>49</v>
      </c>
      <c r="B5" s="186">
        <v>2018</v>
      </c>
      <c r="D5" s="107" t="s">
        <v>50</v>
      </c>
      <c r="E5" s="187">
        <f>'Pro Forma'!M18</f>
        <v>141.26283848813458</v>
      </c>
      <c r="F5" s="188"/>
      <c r="G5" s="188"/>
    </row>
    <row r="6" spans="1:11" x14ac:dyDescent="0.3">
      <c r="A6" s="189" t="s">
        <v>51</v>
      </c>
      <c r="B6" s="190">
        <v>2020</v>
      </c>
      <c r="C6" s="191">
        <f>MATCH($B$6,$E$91:$E$125,0)</f>
        <v>5</v>
      </c>
      <c r="D6" s="160" t="s">
        <v>52</v>
      </c>
      <c r="E6" s="192">
        <f>INDEX('IRP Inputs'!$C$43:$AH$43,MATCH('Battery Costs'!B6,'IRP Inputs'!$C$29:$AH$29,0))</f>
        <v>141.25</v>
      </c>
      <c r="F6" s="113"/>
      <c r="G6" s="113"/>
      <c r="H6" s="113"/>
      <c r="I6" s="113"/>
    </row>
    <row r="7" spans="1:11" x14ac:dyDescent="0.3">
      <c r="A7" s="193"/>
      <c r="B7" s="191"/>
      <c r="C7" s="191"/>
      <c r="E7" s="194"/>
      <c r="F7" s="113"/>
      <c r="G7" s="113"/>
      <c r="I7" s="113"/>
    </row>
    <row r="8" spans="1:11" s="195" customFormat="1" ht="28.8" x14ac:dyDescent="0.3">
      <c r="B8" s="196" t="s">
        <v>53</v>
      </c>
      <c r="C8" s="197"/>
      <c r="D8" s="197"/>
      <c r="E8" s="198"/>
      <c r="F8" s="199" t="s">
        <v>54</v>
      </c>
      <c r="G8" s="331" t="s">
        <v>55</v>
      </c>
      <c r="H8" s="200"/>
      <c r="J8" s="201" t="s">
        <v>5</v>
      </c>
      <c r="K8" s="202"/>
    </row>
    <row r="9" spans="1:11" x14ac:dyDescent="0.3">
      <c r="B9" s="332" t="s">
        <v>56</v>
      </c>
      <c r="C9" s="203"/>
      <c r="D9" s="204" t="s">
        <v>57</v>
      </c>
      <c r="E9" s="205"/>
      <c r="F9" s="206" t="s">
        <v>58</v>
      </c>
      <c r="G9" s="206" t="s">
        <v>58</v>
      </c>
      <c r="J9" s="79" t="s">
        <v>59</v>
      </c>
      <c r="K9" s="80"/>
    </row>
    <row r="10" spans="1:11" x14ac:dyDescent="0.3">
      <c r="B10" s="333"/>
      <c r="C10" s="334"/>
      <c r="D10" s="207" t="s">
        <v>60</v>
      </c>
      <c r="E10" s="208"/>
      <c r="F10" s="209" t="s">
        <v>61</v>
      </c>
      <c r="G10" s="209" t="s">
        <v>62</v>
      </c>
      <c r="J10" s="81" t="s">
        <v>7</v>
      </c>
      <c r="K10" s="82"/>
    </row>
    <row r="11" spans="1:11" x14ac:dyDescent="0.3">
      <c r="B11" s="333"/>
      <c r="C11" s="334"/>
      <c r="D11" s="207" t="s">
        <v>400</v>
      </c>
      <c r="E11" s="208"/>
      <c r="F11" s="209">
        <v>0</v>
      </c>
      <c r="G11" s="209">
        <v>0</v>
      </c>
      <c r="J11" s="84" t="s">
        <v>8</v>
      </c>
      <c r="K11" s="85"/>
    </row>
    <row r="12" spans="1:11" x14ac:dyDescent="0.3">
      <c r="B12" s="333"/>
      <c r="C12" s="334"/>
      <c r="D12" s="207" t="s">
        <v>63</v>
      </c>
      <c r="E12" s="208"/>
      <c r="F12" s="209" t="s">
        <v>64</v>
      </c>
      <c r="G12" s="209" t="s">
        <v>64</v>
      </c>
      <c r="J12" s="86" t="s">
        <v>65</v>
      </c>
      <c r="K12" s="87"/>
    </row>
    <row r="13" spans="1:11" x14ac:dyDescent="0.3">
      <c r="B13" s="196" t="s">
        <v>66</v>
      </c>
      <c r="C13" s="197"/>
      <c r="D13" s="197"/>
      <c r="E13" s="198" t="s">
        <v>67</v>
      </c>
      <c r="F13" s="198"/>
      <c r="G13" s="335"/>
      <c r="J13" s="88" t="s">
        <v>10</v>
      </c>
      <c r="K13" s="89"/>
    </row>
    <row r="14" spans="1:11" x14ac:dyDescent="0.3">
      <c r="B14" s="332" t="s">
        <v>68</v>
      </c>
      <c r="C14" s="203"/>
      <c r="D14" s="204" t="s">
        <v>69</v>
      </c>
      <c r="E14" s="205" t="s">
        <v>70</v>
      </c>
      <c r="F14" s="210">
        <v>1</v>
      </c>
      <c r="G14" s="210">
        <v>4</v>
      </c>
      <c r="H14" s="211" t="s">
        <v>71</v>
      </c>
      <c r="I14" s="212"/>
      <c r="J14" s="213" t="s">
        <v>11</v>
      </c>
      <c r="K14" s="214"/>
    </row>
    <row r="15" spans="1:11" x14ac:dyDescent="0.3">
      <c r="B15" s="333"/>
      <c r="C15" s="334"/>
      <c r="D15" s="215" t="s">
        <v>72</v>
      </c>
      <c r="E15" s="208"/>
      <c r="F15" s="216" t="s">
        <v>401</v>
      </c>
      <c r="G15" s="216" t="s">
        <v>401</v>
      </c>
      <c r="I15" s="212"/>
      <c r="J15" s="92" t="s">
        <v>73</v>
      </c>
      <c r="K15" s="93"/>
    </row>
    <row r="16" spans="1:11" x14ac:dyDescent="0.3">
      <c r="B16" s="109"/>
      <c r="C16" s="49"/>
      <c r="D16" s="217" t="s">
        <v>74</v>
      </c>
      <c r="E16" s="218" t="s">
        <v>75</v>
      </c>
      <c r="F16" s="219">
        <v>0.15</v>
      </c>
      <c r="G16" s="219">
        <v>0.15</v>
      </c>
      <c r="I16" s="212"/>
      <c r="J16" s="195"/>
    </row>
    <row r="17" spans="2:15" x14ac:dyDescent="0.3">
      <c r="B17" s="336"/>
      <c r="C17" s="220"/>
      <c r="D17" s="221" t="s">
        <v>76</v>
      </c>
      <c r="E17" s="222" t="s">
        <v>77</v>
      </c>
      <c r="F17" s="223">
        <v>0</v>
      </c>
      <c r="G17" s="223">
        <v>0</v>
      </c>
      <c r="I17" s="212"/>
      <c r="J17" s="195"/>
    </row>
    <row r="18" spans="2:15" s="29" customFormat="1" x14ac:dyDescent="0.3">
      <c r="B18" s="196" t="s">
        <v>78</v>
      </c>
      <c r="C18" s="197"/>
      <c r="D18" s="197"/>
      <c r="E18" s="198"/>
      <c r="F18" s="224"/>
      <c r="G18" s="337"/>
      <c r="H18" s="19"/>
      <c r="I18" s="212"/>
      <c r="J18" s="195"/>
    </row>
    <row r="19" spans="2:15" x14ac:dyDescent="0.3">
      <c r="B19" s="332" t="s">
        <v>79</v>
      </c>
      <c r="C19" s="203"/>
      <c r="D19" s="204" t="s">
        <v>80</v>
      </c>
      <c r="E19" s="225" t="s">
        <v>81</v>
      </c>
      <c r="F19" s="226">
        <v>96.984332948865827</v>
      </c>
      <c r="G19" s="226">
        <v>227.31641676278355</v>
      </c>
      <c r="I19" s="212"/>
      <c r="J19" s="195"/>
    </row>
    <row r="20" spans="2:15" x14ac:dyDescent="0.3">
      <c r="B20" s="333"/>
      <c r="C20" s="334"/>
      <c r="D20" s="217" t="s">
        <v>82</v>
      </c>
      <c r="E20" s="227" t="s">
        <v>75</v>
      </c>
      <c r="F20" s="228">
        <f>INDEX(F$162:F$196,$C$6)</f>
        <v>1</v>
      </c>
      <c r="G20" s="228">
        <f>INDEX(G$162:G$196,$C$6)</f>
        <v>1</v>
      </c>
      <c r="I20" s="212"/>
      <c r="J20" s="195"/>
    </row>
    <row r="21" spans="2:15" x14ac:dyDescent="0.3">
      <c r="B21" s="336"/>
      <c r="C21" s="220"/>
      <c r="D21" s="229" t="str">
        <f>"Installed Cost, "&amp;$B$6</f>
        <v>Installed Cost, 2020</v>
      </c>
      <c r="E21" s="230" t="s">
        <v>81</v>
      </c>
      <c r="F21" s="231">
        <f>F19*F20</f>
        <v>96.984332948865827</v>
      </c>
      <c r="G21" s="231">
        <f>G19*G20</f>
        <v>227.31641676278355</v>
      </c>
      <c r="H21" s="211" t="s">
        <v>83</v>
      </c>
      <c r="I21" s="212"/>
      <c r="J21" s="195"/>
    </row>
    <row r="22" spans="2:15" x14ac:dyDescent="0.3">
      <c r="B22" s="333" t="s">
        <v>84</v>
      </c>
      <c r="C22" s="334"/>
      <c r="D22" s="147" t="s">
        <v>85</v>
      </c>
      <c r="E22" s="232" t="s">
        <v>75</v>
      </c>
      <c r="F22" s="233"/>
      <c r="G22" s="233"/>
      <c r="H22" s="211"/>
      <c r="I22" s="212"/>
      <c r="J22" s="195"/>
    </row>
    <row r="23" spans="2:15" x14ac:dyDescent="0.3">
      <c r="B23" s="109"/>
      <c r="C23" s="334"/>
      <c r="D23" s="27" t="s">
        <v>86</v>
      </c>
      <c r="E23" s="234" t="s">
        <v>87</v>
      </c>
      <c r="F23" s="235">
        <v>100</v>
      </c>
      <c r="G23" s="235"/>
      <c r="H23" s="211"/>
      <c r="I23" s="212"/>
      <c r="J23" s="195"/>
    </row>
    <row r="24" spans="2:15" x14ac:dyDescent="0.3">
      <c r="B24" s="332" t="s">
        <v>41</v>
      </c>
      <c r="C24" s="203"/>
      <c r="D24" s="207" t="s">
        <v>88</v>
      </c>
      <c r="E24" s="236" t="s">
        <v>89</v>
      </c>
      <c r="F24" s="237">
        <v>7.6893502499038835</v>
      </c>
      <c r="G24" s="237">
        <v>0</v>
      </c>
      <c r="H24" s="211" t="s">
        <v>83</v>
      </c>
      <c r="I24" s="212"/>
      <c r="J24" s="195"/>
    </row>
    <row r="25" spans="2:15" x14ac:dyDescent="0.3">
      <c r="B25" s="333"/>
      <c r="C25" s="334"/>
      <c r="D25" s="217" t="s">
        <v>82</v>
      </c>
      <c r="E25" s="227" t="s">
        <v>75</v>
      </c>
      <c r="F25" s="228">
        <f>INDEX(F$198:F$232,$C$6)</f>
        <v>1</v>
      </c>
      <c r="G25" s="228">
        <f>INDEX(G$198:G$232,$C$6)</f>
        <v>1</v>
      </c>
      <c r="H25" s="211"/>
      <c r="I25" s="212"/>
      <c r="J25" s="195"/>
      <c r="K25" s="195"/>
      <c r="L25" s="195"/>
      <c r="M25" s="195"/>
      <c r="N25" s="195"/>
      <c r="O25" s="195"/>
    </row>
    <row r="26" spans="2:15" x14ac:dyDescent="0.3">
      <c r="B26" s="109"/>
      <c r="C26" s="49"/>
      <c r="D26" s="217" t="str">
        <f>"Annual Fixed O&amp;M, "&amp;B6&amp;" COD"</f>
        <v>Annual Fixed O&amp;M, 2020 COD</v>
      </c>
      <c r="E26" s="227" t="s">
        <v>89</v>
      </c>
      <c r="F26" s="238">
        <f>F24*F25</f>
        <v>7.6893502499038835</v>
      </c>
      <c r="G26" s="238">
        <f>G24*G25</f>
        <v>0</v>
      </c>
      <c r="H26" s="211" t="s">
        <v>83</v>
      </c>
      <c r="I26" s="212"/>
      <c r="J26" s="195"/>
      <c r="K26" s="195"/>
      <c r="L26" s="195"/>
      <c r="M26" s="195"/>
      <c r="N26" s="195"/>
      <c r="O26" s="195"/>
    </row>
    <row r="27" spans="2:15" x14ac:dyDescent="0.3">
      <c r="B27" s="336"/>
      <c r="C27" s="220"/>
      <c r="D27" s="221" t="s">
        <v>90</v>
      </c>
      <c r="E27" s="239" t="s">
        <v>77</v>
      </c>
      <c r="F27" s="240">
        <v>0.02</v>
      </c>
      <c r="G27" s="240">
        <v>0.02</v>
      </c>
      <c r="H27" s="211"/>
      <c r="I27" s="212"/>
      <c r="J27" s="195"/>
      <c r="K27" s="195"/>
      <c r="L27" s="195"/>
      <c r="M27" s="195"/>
      <c r="N27" s="195"/>
      <c r="O27" s="195"/>
    </row>
    <row r="28" spans="2:15" x14ac:dyDescent="0.3">
      <c r="B28" s="332" t="s">
        <v>91</v>
      </c>
      <c r="C28" s="203"/>
      <c r="D28" s="204" t="s">
        <v>91</v>
      </c>
      <c r="E28" s="225" t="s">
        <v>92</v>
      </c>
      <c r="F28" s="241">
        <v>0</v>
      </c>
      <c r="G28" s="241">
        <v>0</v>
      </c>
      <c r="I28" s="212"/>
      <c r="J28" s="242"/>
      <c r="K28" s="242"/>
      <c r="L28" s="242"/>
      <c r="M28" s="242"/>
      <c r="N28" s="186"/>
    </row>
    <row r="29" spans="2:15" x14ac:dyDescent="0.3">
      <c r="B29" s="336"/>
      <c r="C29" s="220"/>
      <c r="D29" s="221" t="s">
        <v>90</v>
      </c>
      <c r="E29" s="239" t="s">
        <v>77</v>
      </c>
      <c r="F29" s="243">
        <v>0.02</v>
      </c>
      <c r="G29" s="243">
        <v>0.02</v>
      </c>
      <c r="I29" s="212"/>
      <c r="J29" s="242"/>
      <c r="K29" s="242"/>
      <c r="L29" s="242"/>
      <c r="M29" s="242"/>
      <c r="N29" s="186"/>
    </row>
    <row r="30" spans="2:15" x14ac:dyDescent="0.3">
      <c r="B30" s="338" t="s">
        <v>93</v>
      </c>
      <c r="C30" s="244"/>
      <c r="D30" s="245" t="s">
        <v>94</v>
      </c>
      <c r="E30" s="246"/>
      <c r="F30" s="247">
        <v>0</v>
      </c>
      <c r="G30" s="247">
        <v>0</v>
      </c>
      <c r="I30" s="212"/>
      <c r="J30" s="242"/>
      <c r="K30" s="242"/>
      <c r="L30" s="242"/>
      <c r="M30" s="242"/>
      <c r="N30" s="186"/>
    </row>
    <row r="31" spans="2:15" x14ac:dyDescent="0.3">
      <c r="B31" s="339"/>
      <c r="C31" s="340"/>
      <c r="D31" s="248" t="s">
        <v>95</v>
      </c>
      <c r="E31" s="249" t="s">
        <v>96</v>
      </c>
      <c r="F31" s="250">
        <v>0</v>
      </c>
      <c r="G31" s="250">
        <v>0</v>
      </c>
      <c r="I31" s="212"/>
      <c r="J31" s="242"/>
      <c r="K31" s="242"/>
      <c r="L31" s="242"/>
      <c r="M31" s="242"/>
      <c r="N31" s="186"/>
    </row>
    <row r="32" spans="2:15" x14ac:dyDescent="0.3">
      <c r="B32" s="339"/>
      <c r="C32" s="340"/>
      <c r="D32" s="248" t="s">
        <v>90</v>
      </c>
      <c r="E32" s="249" t="s">
        <v>77</v>
      </c>
      <c r="F32" s="251">
        <v>0</v>
      </c>
      <c r="G32" s="251">
        <v>0</v>
      </c>
      <c r="I32" s="212"/>
      <c r="J32" s="242"/>
      <c r="K32" s="242"/>
      <c r="L32" s="242"/>
      <c r="M32" s="242"/>
      <c r="N32" s="186"/>
    </row>
    <row r="33" spans="1:14" x14ac:dyDescent="0.3">
      <c r="B33" s="339"/>
      <c r="C33" s="340"/>
      <c r="D33" s="248" t="s">
        <v>97</v>
      </c>
      <c r="E33" s="249" t="s">
        <v>98</v>
      </c>
      <c r="F33" s="252">
        <v>0</v>
      </c>
      <c r="G33" s="252">
        <v>0</v>
      </c>
      <c r="I33" s="212"/>
      <c r="J33" s="242"/>
      <c r="K33" s="242"/>
      <c r="L33" s="242"/>
      <c r="M33" s="242"/>
      <c r="N33" s="186"/>
    </row>
    <row r="34" spans="1:14" x14ac:dyDescent="0.3">
      <c r="B34" s="332" t="s">
        <v>99</v>
      </c>
      <c r="C34" s="203"/>
      <c r="D34" s="204" t="s">
        <v>100</v>
      </c>
      <c r="E34" s="225" t="s">
        <v>75</v>
      </c>
      <c r="F34" s="253">
        <v>8.4499999999999992E-3</v>
      </c>
      <c r="G34" s="253">
        <v>8.4499999999999992E-3</v>
      </c>
      <c r="I34" s="212"/>
      <c r="J34" s="242"/>
      <c r="K34" s="242"/>
      <c r="L34" s="242"/>
      <c r="M34" s="242"/>
      <c r="N34" s="186"/>
    </row>
    <row r="35" spans="1:14" x14ac:dyDescent="0.3">
      <c r="B35" s="333"/>
      <c r="C35" s="334"/>
      <c r="D35" s="217" t="s">
        <v>101</v>
      </c>
      <c r="E35" s="227" t="s">
        <v>102</v>
      </c>
      <c r="F35" s="254">
        <v>2</v>
      </c>
      <c r="G35" s="254">
        <v>2</v>
      </c>
      <c r="I35" s="212"/>
      <c r="N35" s="186"/>
    </row>
    <row r="36" spans="1:14" x14ac:dyDescent="0.3">
      <c r="B36" s="333"/>
      <c r="C36" s="334"/>
      <c r="D36" s="207" t="s">
        <v>103</v>
      </c>
      <c r="E36" s="236" t="s">
        <v>75</v>
      </c>
      <c r="F36" s="255">
        <v>0</v>
      </c>
      <c r="G36" s="255">
        <v>1.2E-2</v>
      </c>
      <c r="I36" s="212"/>
    </row>
    <row r="37" spans="1:14" x14ac:dyDescent="0.3">
      <c r="B37" s="332" t="s">
        <v>104</v>
      </c>
      <c r="C37" s="203"/>
      <c r="D37" s="204" t="s">
        <v>104</v>
      </c>
      <c r="E37" s="225" t="s">
        <v>75</v>
      </c>
      <c r="F37" s="256">
        <v>0</v>
      </c>
      <c r="G37" s="256">
        <v>0</v>
      </c>
      <c r="I37" s="212"/>
    </row>
    <row r="38" spans="1:14" x14ac:dyDescent="0.3">
      <c r="B38" s="338" t="s">
        <v>105</v>
      </c>
      <c r="C38" s="244"/>
      <c r="D38" s="245" t="s">
        <v>106</v>
      </c>
      <c r="E38" s="257" t="s">
        <v>102</v>
      </c>
      <c r="F38" s="258">
        <v>0</v>
      </c>
      <c r="G38" s="258"/>
      <c r="I38" s="212"/>
      <c r="N38" s="186"/>
    </row>
    <row r="39" spans="1:14" x14ac:dyDescent="0.3">
      <c r="B39" s="341"/>
      <c r="C39" s="259"/>
      <c r="D39" s="260" t="s">
        <v>107</v>
      </c>
      <c r="E39" s="261" t="s">
        <v>75</v>
      </c>
      <c r="F39" s="258">
        <v>1</v>
      </c>
      <c r="G39" s="258"/>
      <c r="I39" s="212"/>
      <c r="N39" s="186"/>
    </row>
    <row r="40" spans="1:14" x14ac:dyDescent="0.3">
      <c r="B40" s="196" t="s">
        <v>108</v>
      </c>
      <c r="C40" s="197"/>
      <c r="D40" s="197"/>
      <c r="E40" s="198"/>
      <c r="F40" s="198"/>
      <c r="G40" s="335"/>
      <c r="I40" s="212"/>
      <c r="N40" s="186"/>
    </row>
    <row r="41" spans="1:14" x14ac:dyDescent="0.3">
      <c r="B41" s="342" t="s">
        <v>109</v>
      </c>
      <c r="C41" s="262"/>
      <c r="D41" s="204" t="s">
        <v>110</v>
      </c>
      <c r="E41" s="205" t="s">
        <v>102</v>
      </c>
      <c r="F41" s="263">
        <v>20</v>
      </c>
      <c r="G41" s="263">
        <v>20</v>
      </c>
      <c r="I41" s="212"/>
      <c r="N41" s="186"/>
    </row>
    <row r="42" spans="1:14" x14ac:dyDescent="0.3">
      <c r="B42" s="343"/>
      <c r="C42" s="344"/>
      <c r="D42" s="217" t="s">
        <v>111</v>
      </c>
      <c r="E42" s="264" t="s">
        <v>102</v>
      </c>
      <c r="F42" s="263">
        <v>18</v>
      </c>
      <c r="G42" s="263">
        <v>18</v>
      </c>
      <c r="N42" s="186"/>
    </row>
    <row r="43" spans="1:14" x14ac:dyDescent="0.3">
      <c r="B43" s="343"/>
      <c r="C43" s="344"/>
      <c r="D43" s="217" t="s">
        <v>112</v>
      </c>
      <c r="E43" s="264" t="s">
        <v>75</v>
      </c>
      <c r="F43" s="265">
        <f>INDEX(F$235:F$269,$C$6)</f>
        <v>9.1290782036783397E-2</v>
      </c>
      <c r="G43" s="265">
        <f>INDEX(G$235:G$269,$C$6)</f>
        <v>9.1290782036783397E-2</v>
      </c>
      <c r="N43" s="186"/>
    </row>
    <row r="44" spans="1:14" x14ac:dyDescent="0.3">
      <c r="B44" s="343"/>
      <c r="C44" s="344"/>
      <c r="D44" s="217" t="s">
        <v>113</v>
      </c>
      <c r="E44" s="264" t="s">
        <v>75</v>
      </c>
      <c r="F44" s="265">
        <f>INDEX(F$271:F$305,$C$6)</f>
        <v>4.7270264557823349E-2</v>
      </c>
      <c r="G44" s="265">
        <f>INDEX(G$271:G$305,$C$6)</f>
        <v>4.7270264557823349E-2</v>
      </c>
      <c r="N44" s="186"/>
    </row>
    <row r="45" spans="1:14" x14ac:dyDescent="0.3">
      <c r="B45" s="109"/>
      <c r="C45" s="49"/>
      <c r="D45" s="49" t="s">
        <v>114</v>
      </c>
      <c r="E45" s="49"/>
      <c r="F45" s="266" t="b">
        <v>0</v>
      </c>
      <c r="G45" s="266" t="b">
        <v>0</v>
      </c>
      <c r="N45" s="186"/>
    </row>
    <row r="46" spans="1:14" x14ac:dyDescent="0.3">
      <c r="A46" s="45"/>
      <c r="B46" s="109"/>
      <c r="C46" s="49"/>
      <c r="D46" s="267" t="s">
        <v>115</v>
      </c>
      <c r="E46" s="268" t="s">
        <v>75</v>
      </c>
      <c r="F46" s="269">
        <f>INDEX(F$307:F$341,$C$6)</f>
        <v>0.2</v>
      </c>
      <c r="G46" s="269">
        <f>INDEX(G$307:G$341,$C$6)</f>
        <v>0.2</v>
      </c>
      <c r="N46" s="186"/>
    </row>
    <row r="47" spans="1:14" x14ac:dyDescent="0.3">
      <c r="A47" s="45"/>
      <c r="B47" s="343"/>
      <c r="C47" s="344"/>
      <c r="D47" s="270" t="s">
        <v>116</v>
      </c>
      <c r="E47" s="271" t="s">
        <v>75</v>
      </c>
      <c r="F47" s="272">
        <v>0.8</v>
      </c>
      <c r="G47" s="272">
        <v>0.8</v>
      </c>
      <c r="N47" s="186"/>
    </row>
    <row r="48" spans="1:14" x14ac:dyDescent="0.3">
      <c r="B48" s="343"/>
      <c r="C48" s="344"/>
      <c r="D48" s="229" t="s">
        <v>117</v>
      </c>
      <c r="E48" s="268" t="s">
        <v>77</v>
      </c>
      <c r="F48" s="273">
        <v>0.02</v>
      </c>
      <c r="G48" s="273">
        <v>0.02</v>
      </c>
      <c r="N48" s="186"/>
    </row>
    <row r="49" spans="2:14" x14ac:dyDescent="0.3">
      <c r="B49" s="343"/>
      <c r="C49" s="344"/>
      <c r="D49" s="229" t="s">
        <v>118</v>
      </c>
      <c r="E49" s="268"/>
      <c r="F49" s="274">
        <v>1.4</v>
      </c>
      <c r="G49" s="274">
        <v>1.4</v>
      </c>
      <c r="N49" s="186"/>
    </row>
    <row r="50" spans="2:14" x14ac:dyDescent="0.3">
      <c r="B50" s="111"/>
      <c r="C50" s="275"/>
      <c r="D50" s="221" t="s">
        <v>119</v>
      </c>
      <c r="E50" s="222"/>
      <c r="F50" s="276" t="b">
        <v>1</v>
      </c>
      <c r="G50" s="276" t="b">
        <v>1</v>
      </c>
      <c r="N50" s="186"/>
    </row>
    <row r="51" spans="2:14" x14ac:dyDescent="0.3">
      <c r="B51" s="342" t="s">
        <v>120</v>
      </c>
      <c r="C51" s="262"/>
      <c r="D51" s="204" t="s">
        <v>121</v>
      </c>
      <c r="E51" s="205" t="s">
        <v>75</v>
      </c>
      <c r="F51" s="277">
        <v>0.8</v>
      </c>
      <c r="G51" s="277">
        <v>0.8</v>
      </c>
      <c r="N51" s="186"/>
    </row>
    <row r="52" spans="2:14" x14ac:dyDescent="0.3">
      <c r="B52" s="345"/>
      <c r="C52" s="278"/>
      <c r="D52" s="279" t="s">
        <v>122</v>
      </c>
      <c r="E52" s="222" t="s">
        <v>75</v>
      </c>
      <c r="F52" s="280">
        <v>0.12175771489157144</v>
      </c>
      <c r="G52" s="280">
        <v>0.12175771489157144</v>
      </c>
      <c r="N52" s="186"/>
    </row>
    <row r="53" spans="2:14" x14ac:dyDescent="0.3">
      <c r="B53" s="196" t="s">
        <v>123</v>
      </c>
      <c r="C53" s="197"/>
      <c r="D53" s="197"/>
      <c r="E53" s="198"/>
      <c r="F53" s="198"/>
      <c r="G53" s="335"/>
      <c r="N53" s="186"/>
    </row>
    <row r="54" spans="2:14" x14ac:dyDescent="0.3">
      <c r="B54" s="332" t="s">
        <v>124</v>
      </c>
      <c r="C54" s="203"/>
      <c r="D54" s="147" t="s">
        <v>125</v>
      </c>
      <c r="E54" s="281" t="s">
        <v>126</v>
      </c>
      <c r="F54" s="282">
        <v>1</v>
      </c>
      <c r="G54" s="346">
        <v>1</v>
      </c>
      <c r="N54" s="186"/>
    </row>
    <row r="55" spans="2:14" x14ac:dyDescent="0.3">
      <c r="B55" s="332" t="s">
        <v>127</v>
      </c>
      <c r="C55" s="203"/>
      <c r="D55" s="204" t="s">
        <v>128</v>
      </c>
      <c r="E55" s="283" t="s">
        <v>75</v>
      </c>
      <c r="F55" s="284">
        <v>0</v>
      </c>
      <c r="G55" s="284">
        <v>0</v>
      </c>
      <c r="N55" s="186"/>
    </row>
    <row r="56" spans="2:14" x14ac:dyDescent="0.3">
      <c r="B56" s="347"/>
      <c r="C56" s="285"/>
      <c r="D56" s="221" t="s">
        <v>129</v>
      </c>
      <c r="E56" s="286" t="s">
        <v>75</v>
      </c>
      <c r="F56" s="287">
        <v>0.95</v>
      </c>
      <c r="G56" s="287">
        <v>0.95</v>
      </c>
      <c r="M56" s="288"/>
    </row>
    <row r="57" spans="2:14" x14ac:dyDescent="0.3">
      <c r="B57" s="332" t="s">
        <v>130</v>
      </c>
      <c r="C57" s="203"/>
      <c r="D57" s="204" t="s">
        <v>131</v>
      </c>
      <c r="E57" s="283" t="s">
        <v>92</v>
      </c>
      <c r="F57" s="289">
        <v>0</v>
      </c>
      <c r="G57" s="289">
        <v>0</v>
      </c>
      <c r="M57" s="29"/>
    </row>
    <row r="58" spans="2:14" x14ac:dyDescent="0.3">
      <c r="B58" s="347"/>
      <c r="C58" s="285"/>
      <c r="D58" s="221" t="s">
        <v>132</v>
      </c>
      <c r="E58" s="286" t="s">
        <v>102</v>
      </c>
      <c r="F58" s="290">
        <v>0</v>
      </c>
      <c r="G58" s="290"/>
    </row>
    <row r="59" spans="2:14" x14ac:dyDescent="0.3">
      <c r="B59" s="343" t="s">
        <v>133</v>
      </c>
      <c r="C59" s="344"/>
      <c r="D59" s="204" t="s">
        <v>106</v>
      </c>
      <c r="E59" s="283" t="s">
        <v>102</v>
      </c>
      <c r="F59" s="282">
        <v>7</v>
      </c>
      <c r="G59" s="346">
        <v>7</v>
      </c>
    </row>
    <row r="60" spans="2:14" x14ac:dyDescent="0.3">
      <c r="B60" s="343"/>
      <c r="C60" s="344"/>
      <c r="D60" s="221" t="s">
        <v>134</v>
      </c>
      <c r="E60" s="286"/>
      <c r="F60" s="287" t="b">
        <v>0</v>
      </c>
      <c r="G60" s="287" t="b">
        <v>0</v>
      </c>
      <c r="H60" s="29"/>
      <c r="I60" s="29"/>
    </row>
    <row r="61" spans="2:14" x14ac:dyDescent="0.3">
      <c r="B61" s="196" t="s">
        <v>402</v>
      </c>
      <c r="C61" s="198"/>
      <c r="D61" s="198"/>
      <c r="E61" s="198"/>
      <c r="F61" s="198"/>
      <c r="G61" s="335"/>
      <c r="H61" s="29"/>
      <c r="I61" s="29"/>
    </row>
    <row r="62" spans="2:14" x14ac:dyDescent="0.3">
      <c r="B62" s="343" t="s">
        <v>135</v>
      </c>
      <c r="C62" s="344"/>
      <c r="D62" s="291" t="s">
        <v>38</v>
      </c>
      <c r="E62" s="283" t="s">
        <v>92</v>
      </c>
      <c r="F62" s="292">
        <v>8.874186700351995</v>
      </c>
      <c r="G62" s="292">
        <v>20.799733947456669</v>
      </c>
      <c r="H62" s="29"/>
      <c r="I62" s="29"/>
    </row>
    <row r="63" spans="2:14" x14ac:dyDescent="0.3">
      <c r="B63" s="109" t="s">
        <v>136</v>
      </c>
      <c r="C63" s="49"/>
      <c r="D63" s="291" t="s">
        <v>43</v>
      </c>
      <c r="E63" s="293" t="s">
        <v>92</v>
      </c>
      <c r="F63" s="294">
        <v>9.1501239741792482</v>
      </c>
      <c r="G63" s="294">
        <v>0</v>
      </c>
      <c r="H63" s="29"/>
      <c r="K63" s="29"/>
    </row>
    <row r="64" spans="2:14" x14ac:dyDescent="0.3">
      <c r="B64" s="109"/>
      <c r="C64" s="49"/>
      <c r="D64" s="291" t="s">
        <v>104</v>
      </c>
      <c r="E64" s="293" t="s">
        <v>92</v>
      </c>
      <c r="F64" s="294">
        <v>0</v>
      </c>
      <c r="G64" s="294">
        <v>0</v>
      </c>
      <c r="H64" s="29"/>
      <c r="I64" s="295"/>
      <c r="K64" s="29"/>
    </row>
    <row r="65" spans="2:11" x14ac:dyDescent="0.3">
      <c r="B65" s="109"/>
      <c r="C65" s="49"/>
      <c r="D65" s="296" t="s">
        <v>127</v>
      </c>
      <c r="E65" s="218" t="s">
        <v>92</v>
      </c>
      <c r="F65" s="297">
        <v>0</v>
      </c>
      <c r="G65" s="297">
        <v>0</v>
      </c>
      <c r="H65" s="29"/>
      <c r="I65" s="295"/>
      <c r="K65" s="29"/>
    </row>
    <row r="66" spans="2:11" x14ac:dyDescent="0.3">
      <c r="B66" s="348"/>
      <c r="C66" s="349"/>
      <c r="D66" s="296" t="s">
        <v>41</v>
      </c>
      <c r="E66" s="218" t="s">
        <v>92</v>
      </c>
      <c r="F66" s="297">
        <v>5.8518647259542504</v>
      </c>
      <c r="G66" s="297">
        <v>0</v>
      </c>
      <c r="H66" s="29"/>
      <c r="I66" s="295"/>
      <c r="K66" s="29"/>
    </row>
    <row r="67" spans="2:11" x14ac:dyDescent="0.3">
      <c r="B67" s="348"/>
      <c r="C67" s="349"/>
      <c r="D67" s="296" t="s">
        <v>137</v>
      </c>
      <c r="E67" s="218" t="s">
        <v>92</v>
      </c>
      <c r="F67" s="297">
        <v>0.49670623749060877</v>
      </c>
      <c r="G67" s="297">
        <v>3.2401523282640561</v>
      </c>
      <c r="H67" s="29"/>
      <c r="I67" s="295"/>
      <c r="K67" s="29"/>
    </row>
    <row r="68" spans="2:11" x14ac:dyDescent="0.3">
      <c r="B68" s="348"/>
      <c r="C68" s="349"/>
      <c r="D68" s="296" t="s">
        <v>91</v>
      </c>
      <c r="E68" s="218" t="s">
        <v>92</v>
      </c>
      <c r="F68" s="297">
        <v>0</v>
      </c>
      <c r="G68" s="297">
        <v>0</v>
      </c>
      <c r="H68" s="29"/>
      <c r="I68" s="295"/>
      <c r="K68" s="29"/>
    </row>
    <row r="69" spans="2:11" x14ac:dyDescent="0.3">
      <c r="B69" s="348"/>
      <c r="C69" s="349"/>
      <c r="D69" s="296" t="s">
        <v>138</v>
      </c>
      <c r="E69" s="218" t="s">
        <v>92</v>
      </c>
      <c r="F69" s="297">
        <v>0</v>
      </c>
      <c r="G69" s="297">
        <v>0</v>
      </c>
      <c r="H69" s="29"/>
      <c r="I69" s="295"/>
      <c r="K69" s="29"/>
    </row>
    <row r="70" spans="2:11" x14ac:dyDescent="0.3">
      <c r="B70" s="348"/>
      <c r="C70" s="349"/>
      <c r="D70" s="296" t="s">
        <v>139</v>
      </c>
      <c r="E70" s="218" t="s">
        <v>92</v>
      </c>
      <c r="F70" s="297">
        <v>0</v>
      </c>
      <c r="G70" s="297">
        <v>0</v>
      </c>
      <c r="H70" s="29"/>
      <c r="I70" s="29"/>
    </row>
    <row r="71" spans="2:11" ht="15" thickBot="1" x14ac:dyDescent="0.35">
      <c r="B71" s="348"/>
      <c r="C71" s="349"/>
      <c r="D71" s="298" t="s">
        <v>130</v>
      </c>
      <c r="E71" s="299" t="s">
        <v>92</v>
      </c>
      <c r="F71" s="300">
        <v>0</v>
      </c>
      <c r="G71" s="300">
        <v>0</v>
      </c>
      <c r="H71" s="29"/>
      <c r="I71" s="29"/>
    </row>
    <row r="72" spans="2:11" ht="15" thickTop="1" x14ac:dyDescent="0.3">
      <c r="B72" s="350"/>
      <c r="C72" s="301"/>
      <c r="D72" s="275" t="s">
        <v>140</v>
      </c>
      <c r="E72" s="302" t="s">
        <v>92</v>
      </c>
      <c r="F72" s="303">
        <v>24.372881637976107</v>
      </c>
      <c r="G72" s="303">
        <v>24.039886275720729</v>
      </c>
      <c r="H72" s="29"/>
      <c r="I72" s="29"/>
    </row>
    <row r="73" spans="2:11" x14ac:dyDescent="0.3">
      <c r="B73" s="342" t="s">
        <v>141</v>
      </c>
      <c r="C73" s="262"/>
      <c r="D73" s="304" t="s">
        <v>38</v>
      </c>
      <c r="E73" s="283" t="s">
        <v>89</v>
      </c>
      <c r="F73" s="292">
        <v>11.660681324262523</v>
      </c>
      <c r="G73" s="292">
        <v>27.330850406958067</v>
      </c>
      <c r="H73" s="29"/>
      <c r="I73" s="29"/>
    </row>
    <row r="74" spans="2:11" x14ac:dyDescent="0.3">
      <c r="B74" s="109" t="s">
        <v>136</v>
      </c>
      <c r="C74" s="49"/>
      <c r="D74" s="291" t="s">
        <v>43</v>
      </c>
      <c r="E74" s="218" t="s">
        <v>89</v>
      </c>
      <c r="F74" s="297">
        <v>12.023262902071533</v>
      </c>
      <c r="G74" s="297">
        <v>0</v>
      </c>
      <c r="H74" s="29"/>
      <c r="I74" s="29"/>
    </row>
    <row r="75" spans="2:11" x14ac:dyDescent="0.3">
      <c r="B75" s="109"/>
      <c r="C75" s="49"/>
      <c r="D75" s="291" t="s">
        <v>142</v>
      </c>
      <c r="E75" s="218" t="s">
        <v>89</v>
      </c>
      <c r="F75" s="297">
        <v>0</v>
      </c>
      <c r="G75" s="297">
        <v>0</v>
      </c>
      <c r="H75" s="29"/>
      <c r="I75" s="29"/>
    </row>
    <row r="76" spans="2:11" x14ac:dyDescent="0.3">
      <c r="B76" s="109"/>
      <c r="C76" s="49"/>
      <c r="D76" s="296" t="s">
        <v>127</v>
      </c>
      <c r="E76" s="218" t="s">
        <v>89</v>
      </c>
      <c r="F76" s="297">
        <v>0</v>
      </c>
      <c r="G76" s="297">
        <v>0</v>
      </c>
      <c r="H76" s="29"/>
      <c r="I76" s="29"/>
    </row>
    <row r="77" spans="2:11" x14ac:dyDescent="0.3">
      <c r="B77" s="348"/>
      <c r="C77" s="349"/>
      <c r="D77" s="296" t="s">
        <v>41</v>
      </c>
      <c r="E77" s="218" t="s">
        <v>89</v>
      </c>
      <c r="F77" s="297">
        <v>7.6893502499038862</v>
      </c>
      <c r="G77" s="297">
        <v>0</v>
      </c>
      <c r="H77" s="29"/>
      <c r="I77" s="29"/>
    </row>
    <row r="78" spans="2:11" x14ac:dyDescent="0.3">
      <c r="B78" s="348"/>
      <c r="C78" s="349"/>
      <c r="D78" s="296" t="s">
        <v>137</v>
      </c>
      <c r="E78" s="218" t="s">
        <v>89</v>
      </c>
      <c r="F78" s="297">
        <v>0.65267199606265991</v>
      </c>
      <c r="G78" s="297">
        <v>4.2575601593389703</v>
      </c>
      <c r="H78" s="29"/>
      <c r="I78" s="29"/>
    </row>
    <row r="79" spans="2:11" ht="15" thickBot="1" x14ac:dyDescent="0.35">
      <c r="B79" s="348"/>
      <c r="C79" s="349"/>
      <c r="D79" s="298" t="s">
        <v>130</v>
      </c>
      <c r="E79" s="299" t="s">
        <v>89</v>
      </c>
      <c r="F79" s="300">
        <v>0</v>
      </c>
      <c r="G79" s="300">
        <v>0</v>
      </c>
      <c r="H79" s="29"/>
      <c r="I79" s="29"/>
    </row>
    <row r="80" spans="2:11" ht="15" thickTop="1" x14ac:dyDescent="0.3">
      <c r="B80" s="350"/>
      <c r="C80" s="301"/>
      <c r="D80" s="275" t="s">
        <v>140</v>
      </c>
      <c r="E80" s="302" t="s">
        <v>89</v>
      </c>
      <c r="F80" s="305">
        <v>32.025966472300603</v>
      </c>
      <c r="G80" s="305">
        <v>31.588410566297039</v>
      </c>
      <c r="H80" s="29"/>
      <c r="I80" s="29"/>
    </row>
    <row r="81" spans="1:9" x14ac:dyDescent="0.3">
      <c r="B81" s="343" t="s">
        <v>143</v>
      </c>
      <c r="C81" s="351"/>
      <c r="D81" s="306" t="s">
        <v>121</v>
      </c>
      <c r="E81" s="218" t="s">
        <v>75</v>
      </c>
      <c r="F81" s="307">
        <v>0.8</v>
      </c>
      <c r="G81" s="307">
        <v>0.8</v>
      </c>
      <c r="H81" s="29"/>
      <c r="I81" s="29"/>
    </row>
    <row r="82" spans="1:9" x14ac:dyDescent="0.3">
      <c r="B82" s="352"/>
      <c r="C82" s="351"/>
      <c r="D82" s="306" t="s">
        <v>144</v>
      </c>
      <c r="E82" s="218" t="s">
        <v>75</v>
      </c>
      <c r="F82" s="307">
        <v>0.19999999999999996</v>
      </c>
      <c r="G82" s="307">
        <v>0.19999999999999996</v>
      </c>
      <c r="H82" s="29"/>
      <c r="I82" s="29"/>
    </row>
    <row r="83" spans="1:9" x14ac:dyDescent="0.3">
      <c r="B83" s="352"/>
      <c r="C83" s="351"/>
      <c r="D83" s="306" t="s">
        <v>145</v>
      </c>
      <c r="E83" s="218" t="s">
        <v>75</v>
      </c>
      <c r="F83" s="307">
        <v>0.12175771489157144</v>
      </c>
      <c r="G83" s="307">
        <v>0.12175771489157144</v>
      </c>
      <c r="H83" s="29"/>
      <c r="I83" s="29"/>
    </row>
    <row r="84" spans="1:9" x14ac:dyDescent="0.3">
      <c r="B84" s="352"/>
      <c r="C84" s="351"/>
      <c r="D84" s="306" t="s">
        <v>146</v>
      </c>
      <c r="E84" s="218" t="s">
        <v>75</v>
      </c>
      <c r="F84" s="307">
        <v>0.08</v>
      </c>
      <c r="G84" s="307">
        <v>0.08</v>
      </c>
      <c r="H84" s="29"/>
      <c r="I84" s="29"/>
    </row>
    <row r="85" spans="1:9" x14ac:dyDescent="0.3">
      <c r="B85" s="352"/>
      <c r="C85" s="351"/>
      <c r="D85" s="306" t="s">
        <v>147</v>
      </c>
      <c r="E85" s="218" t="s">
        <v>75</v>
      </c>
      <c r="F85" s="307">
        <v>0.10892879591325716</v>
      </c>
      <c r="G85" s="307">
        <v>0.10892879591325716</v>
      </c>
      <c r="H85" s="29"/>
      <c r="I85" s="29"/>
    </row>
    <row r="86" spans="1:9" x14ac:dyDescent="0.3">
      <c r="B86" s="352"/>
      <c r="C86" s="351"/>
      <c r="D86" s="306" t="s">
        <v>148</v>
      </c>
      <c r="E86" s="218" t="s">
        <v>77</v>
      </c>
      <c r="F86" s="307">
        <v>0.02</v>
      </c>
      <c r="G86" s="307">
        <v>0.02</v>
      </c>
      <c r="H86" s="29"/>
      <c r="I86" s="29"/>
    </row>
    <row r="87" spans="1:9" x14ac:dyDescent="0.3">
      <c r="B87" s="352"/>
      <c r="C87" s="351"/>
      <c r="D87" s="308" t="s">
        <v>149</v>
      </c>
      <c r="E87" s="309" t="s">
        <v>150</v>
      </c>
      <c r="F87" s="310">
        <v>0</v>
      </c>
      <c r="G87" s="310">
        <v>0</v>
      </c>
      <c r="I87" s="311"/>
    </row>
    <row r="88" spans="1:9" x14ac:dyDescent="0.3">
      <c r="B88" s="353"/>
      <c r="C88" s="312"/>
      <c r="D88" s="313" t="s">
        <v>151</v>
      </c>
      <c r="E88" s="286"/>
      <c r="F88" s="314">
        <v>6.810292037924139</v>
      </c>
      <c r="G88" s="314">
        <v>6.7836454344527795</v>
      </c>
      <c r="H88" s="295"/>
      <c r="I88" s="311"/>
    </row>
    <row r="90" spans="1:9" x14ac:dyDescent="0.3">
      <c r="B90" s="196" t="s">
        <v>152</v>
      </c>
      <c r="C90" s="197"/>
      <c r="D90" s="197"/>
      <c r="E90" s="198"/>
      <c r="F90" s="198"/>
      <c r="G90" s="335"/>
    </row>
    <row r="91" spans="1:9" x14ac:dyDescent="0.3">
      <c r="B91" s="354" t="s">
        <v>153</v>
      </c>
      <c r="C91" s="355"/>
      <c r="D91" s="315"/>
      <c r="E91" s="316">
        <v>2016</v>
      </c>
      <c r="F91" s="317"/>
      <c r="G91" s="317"/>
    </row>
    <row r="92" spans="1:9" x14ac:dyDescent="0.3">
      <c r="B92" s="356" t="s">
        <v>154</v>
      </c>
      <c r="C92" s="355"/>
      <c r="D92" s="315"/>
      <c r="E92" s="316">
        <f t="shared" ref="E92:E125" si="0">E91+1</f>
        <v>2017</v>
      </c>
      <c r="F92" s="317"/>
      <c r="G92" s="317"/>
    </row>
    <row r="93" spans="1:9" x14ac:dyDescent="0.3">
      <c r="A93" s="186"/>
      <c r="B93" s="357"/>
      <c r="C93" s="355"/>
      <c r="D93" s="315"/>
      <c r="E93" s="316">
        <f t="shared" si="0"/>
        <v>2018</v>
      </c>
      <c r="F93" s="317"/>
      <c r="G93" s="317"/>
    </row>
    <row r="94" spans="1:9" x14ac:dyDescent="0.3">
      <c r="B94" s="358"/>
      <c r="C94" s="359"/>
      <c r="D94" s="315"/>
      <c r="E94" s="316">
        <f t="shared" si="0"/>
        <v>2019</v>
      </c>
      <c r="F94" s="317"/>
      <c r="G94" s="317"/>
    </row>
    <row r="95" spans="1:9" x14ac:dyDescent="0.3">
      <c r="B95" s="358"/>
      <c r="C95" s="359"/>
      <c r="D95" s="315"/>
      <c r="E95" s="316">
        <f t="shared" si="0"/>
        <v>2020</v>
      </c>
      <c r="F95" s="317"/>
      <c r="G95" s="317"/>
    </row>
    <row r="96" spans="1:9" x14ac:dyDescent="0.3">
      <c r="B96" s="358"/>
      <c r="C96" s="359"/>
      <c r="D96" s="315"/>
      <c r="E96" s="316">
        <f t="shared" si="0"/>
        <v>2021</v>
      </c>
      <c r="F96" s="317"/>
      <c r="G96" s="317"/>
    </row>
    <row r="97" spans="2:7" x14ac:dyDescent="0.3">
      <c r="B97" s="358"/>
      <c r="C97" s="359"/>
      <c r="D97" s="315"/>
      <c r="E97" s="316">
        <f t="shared" si="0"/>
        <v>2022</v>
      </c>
      <c r="F97" s="317"/>
      <c r="G97" s="317"/>
    </row>
    <row r="98" spans="2:7" x14ac:dyDescent="0.3">
      <c r="B98" s="358"/>
      <c r="C98" s="359"/>
      <c r="D98" s="315"/>
      <c r="E98" s="316">
        <f t="shared" si="0"/>
        <v>2023</v>
      </c>
      <c r="F98" s="317"/>
      <c r="G98" s="317"/>
    </row>
    <row r="99" spans="2:7" x14ac:dyDescent="0.3">
      <c r="B99" s="358"/>
      <c r="C99" s="359"/>
      <c r="D99" s="315"/>
      <c r="E99" s="316">
        <f t="shared" si="0"/>
        <v>2024</v>
      </c>
      <c r="F99" s="317"/>
      <c r="G99" s="317"/>
    </row>
    <row r="100" spans="2:7" x14ac:dyDescent="0.3">
      <c r="B100" s="358"/>
      <c r="C100" s="359"/>
      <c r="D100" s="315"/>
      <c r="E100" s="316">
        <f t="shared" si="0"/>
        <v>2025</v>
      </c>
      <c r="F100" s="317"/>
      <c r="G100" s="317"/>
    </row>
    <row r="101" spans="2:7" x14ac:dyDescent="0.3">
      <c r="B101" s="358"/>
      <c r="C101" s="359"/>
      <c r="D101" s="315"/>
      <c r="E101" s="316">
        <f t="shared" si="0"/>
        <v>2026</v>
      </c>
      <c r="F101" s="317"/>
      <c r="G101" s="317"/>
    </row>
    <row r="102" spans="2:7" x14ac:dyDescent="0.3">
      <c r="B102" s="358"/>
      <c r="C102" s="359"/>
      <c r="D102" s="315"/>
      <c r="E102" s="316">
        <f t="shared" si="0"/>
        <v>2027</v>
      </c>
      <c r="F102" s="317"/>
      <c r="G102" s="317"/>
    </row>
    <row r="103" spans="2:7" x14ac:dyDescent="0.3">
      <c r="B103" s="358"/>
      <c r="C103" s="359"/>
      <c r="D103" s="315"/>
      <c r="E103" s="316">
        <f t="shared" si="0"/>
        <v>2028</v>
      </c>
      <c r="F103" s="317"/>
      <c r="G103" s="317"/>
    </row>
    <row r="104" spans="2:7" x14ac:dyDescent="0.3">
      <c r="B104" s="358"/>
      <c r="C104" s="359"/>
      <c r="D104" s="315"/>
      <c r="E104" s="316">
        <f t="shared" si="0"/>
        <v>2029</v>
      </c>
      <c r="F104" s="317"/>
      <c r="G104" s="317"/>
    </row>
    <row r="105" spans="2:7" x14ac:dyDescent="0.3">
      <c r="B105" s="358"/>
      <c r="C105" s="359"/>
      <c r="D105" s="318"/>
      <c r="E105" s="316">
        <f t="shared" si="0"/>
        <v>2030</v>
      </c>
      <c r="F105" s="317"/>
      <c r="G105" s="317"/>
    </row>
    <row r="106" spans="2:7" x14ac:dyDescent="0.3">
      <c r="B106" s="358"/>
      <c r="C106" s="359"/>
      <c r="D106" s="318"/>
      <c r="E106" s="316">
        <f t="shared" si="0"/>
        <v>2031</v>
      </c>
      <c r="F106" s="317"/>
      <c r="G106" s="317"/>
    </row>
    <row r="107" spans="2:7" x14ac:dyDescent="0.3">
      <c r="B107" s="358"/>
      <c r="C107" s="359"/>
      <c r="D107" s="318"/>
      <c r="E107" s="316">
        <f t="shared" si="0"/>
        <v>2032</v>
      </c>
      <c r="F107" s="317"/>
      <c r="G107" s="317"/>
    </row>
    <row r="108" spans="2:7" x14ac:dyDescent="0.3">
      <c r="B108" s="358"/>
      <c r="C108" s="359"/>
      <c r="D108" s="318"/>
      <c r="E108" s="316">
        <f t="shared" si="0"/>
        <v>2033</v>
      </c>
      <c r="F108" s="317"/>
      <c r="G108" s="317"/>
    </row>
    <row r="109" spans="2:7" x14ac:dyDescent="0.3">
      <c r="B109" s="358"/>
      <c r="C109" s="359"/>
      <c r="D109" s="318"/>
      <c r="E109" s="316">
        <f t="shared" si="0"/>
        <v>2034</v>
      </c>
      <c r="F109" s="317"/>
      <c r="G109" s="317"/>
    </row>
    <row r="110" spans="2:7" x14ac:dyDescent="0.3">
      <c r="B110" s="358"/>
      <c r="C110" s="359"/>
      <c r="D110" s="318"/>
      <c r="E110" s="316">
        <f t="shared" si="0"/>
        <v>2035</v>
      </c>
      <c r="F110" s="317"/>
      <c r="G110" s="317"/>
    </row>
    <row r="111" spans="2:7" x14ac:dyDescent="0.3">
      <c r="B111" s="358"/>
      <c r="C111" s="359"/>
      <c r="D111" s="318"/>
      <c r="E111" s="316">
        <f t="shared" si="0"/>
        <v>2036</v>
      </c>
      <c r="F111" s="317"/>
      <c r="G111" s="317"/>
    </row>
    <row r="112" spans="2:7" x14ac:dyDescent="0.3">
      <c r="B112" s="358"/>
      <c r="C112" s="359"/>
      <c r="D112" s="318"/>
      <c r="E112" s="316">
        <f t="shared" si="0"/>
        <v>2037</v>
      </c>
      <c r="F112" s="317"/>
      <c r="G112" s="317"/>
    </row>
    <row r="113" spans="2:7" x14ac:dyDescent="0.3">
      <c r="B113" s="358"/>
      <c r="C113" s="359"/>
      <c r="D113" s="318"/>
      <c r="E113" s="316">
        <f t="shared" si="0"/>
        <v>2038</v>
      </c>
      <c r="F113" s="317"/>
      <c r="G113" s="317"/>
    </row>
    <row r="114" spans="2:7" x14ac:dyDescent="0.3">
      <c r="B114" s="358"/>
      <c r="C114" s="359"/>
      <c r="D114" s="318"/>
      <c r="E114" s="316">
        <f t="shared" si="0"/>
        <v>2039</v>
      </c>
      <c r="F114" s="317"/>
      <c r="G114" s="317"/>
    </row>
    <row r="115" spans="2:7" x14ac:dyDescent="0.3">
      <c r="B115" s="358"/>
      <c r="C115" s="359"/>
      <c r="D115" s="318"/>
      <c r="E115" s="316">
        <f t="shared" si="0"/>
        <v>2040</v>
      </c>
      <c r="F115" s="317"/>
      <c r="G115" s="317"/>
    </row>
    <row r="116" spans="2:7" x14ac:dyDescent="0.3">
      <c r="B116" s="358"/>
      <c r="C116" s="359"/>
      <c r="D116" s="318"/>
      <c r="E116" s="316">
        <f t="shared" si="0"/>
        <v>2041</v>
      </c>
      <c r="F116" s="317"/>
      <c r="G116" s="317"/>
    </row>
    <row r="117" spans="2:7" x14ac:dyDescent="0.3">
      <c r="B117" s="358"/>
      <c r="C117" s="359"/>
      <c r="D117" s="318"/>
      <c r="E117" s="316">
        <f t="shared" si="0"/>
        <v>2042</v>
      </c>
      <c r="F117" s="317"/>
      <c r="G117" s="317"/>
    </row>
    <row r="118" spans="2:7" x14ac:dyDescent="0.3">
      <c r="B118" s="358"/>
      <c r="C118" s="359"/>
      <c r="D118" s="318"/>
      <c r="E118" s="316">
        <f t="shared" si="0"/>
        <v>2043</v>
      </c>
      <c r="F118" s="317"/>
      <c r="G118" s="317"/>
    </row>
    <row r="119" spans="2:7" x14ac:dyDescent="0.3">
      <c r="B119" s="358"/>
      <c r="C119" s="359"/>
      <c r="D119" s="318"/>
      <c r="E119" s="316">
        <f t="shared" si="0"/>
        <v>2044</v>
      </c>
      <c r="F119" s="317"/>
      <c r="G119" s="317"/>
    </row>
    <row r="120" spans="2:7" x14ac:dyDescent="0.3">
      <c r="B120" s="358"/>
      <c r="C120" s="359"/>
      <c r="D120" s="318"/>
      <c r="E120" s="316">
        <f t="shared" si="0"/>
        <v>2045</v>
      </c>
      <c r="F120" s="317"/>
      <c r="G120" s="317"/>
    </row>
    <row r="121" spans="2:7" x14ac:dyDescent="0.3">
      <c r="B121" s="358"/>
      <c r="C121" s="359"/>
      <c r="D121" s="318"/>
      <c r="E121" s="316">
        <f t="shared" si="0"/>
        <v>2046</v>
      </c>
      <c r="F121" s="317"/>
      <c r="G121" s="317"/>
    </row>
    <row r="122" spans="2:7" x14ac:dyDescent="0.3">
      <c r="B122" s="358"/>
      <c r="C122" s="359"/>
      <c r="D122" s="318"/>
      <c r="E122" s="316">
        <f t="shared" si="0"/>
        <v>2047</v>
      </c>
      <c r="F122" s="317"/>
      <c r="G122" s="317"/>
    </row>
    <row r="123" spans="2:7" x14ac:dyDescent="0.3">
      <c r="B123" s="358"/>
      <c r="C123" s="359"/>
      <c r="D123" s="318"/>
      <c r="E123" s="316">
        <f t="shared" si="0"/>
        <v>2048</v>
      </c>
      <c r="F123" s="317"/>
      <c r="G123" s="317"/>
    </row>
    <row r="124" spans="2:7" x14ac:dyDescent="0.3">
      <c r="B124" s="358"/>
      <c r="C124" s="359"/>
      <c r="D124" s="318"/>
      <c r="E124" s="316">
        <f t="shared" si="0"/>
        <v>2049</v>
      </c>
      <c r="F124" s="317"/>
      <c r="G124" s="317"/>
    </row>
    <row r="125" spans="2:7" x14ac:dyDescent="0.3">
      <c r="B125" s="360"/>
      <c r="C125" s="319"/>
      <c r="D125" s="320"/>
      <c r="E125" s="321">
        <f t="shared" si="0"/>
        <v>2050</v>
      </c>
      <c r="F125" s="322"/>
      <c r="G125" s="322"/>
    </row>
    <row r="126" spans="2:7" x14ac:dyDescent="0.3">
      <c r="B126" s="354" t="s">
        <v>155</v>
      </c>
      <c r="C126" s="355"/>
      <c r="D126" s="315"/>
      <c r="E126" s="323">
        <v>2016</v>
      </c>
      <c r="F126" s="324"/>
      <c r="G126" s="324"/>
    </row>
    <row r="127" spans="2:7" x14ac:dyDescent="0.3">
      <c r="B127" s="356" t="s">
        <v>156</v>
      </c>
      <c r="C127" s="355"/>
      <c r="D127" s="315"/>
      <c r="E127" s="316">
        <f t="shared" ref="E127:E160" si="1">E126+1</f>
        <v>2017</v>
      </c>
      <c r="F127" s="325"/>
      <c r="G127" s="325"/>
    </row>
    <row r="128" spans="2:7" x14ac:dyDescent="0.3">
      <c r="B128" s="357"/>
      <c r="C128" s="355"/>
      <c r="D128" s="315"/>
      <c r="E128" s="316">
        <f t="shared" si="1"/>
        <v>2018</v>
      </c>
      <c r="F128" s="325"/>
      <c r="G128" s="325"/>
    </row>
    <row r="129" spans="2:7" x14ac:dyDescent="0.3">
      <c r="B129" s="358"/>
      <c r="C129" s="359"/>
      <c r="D129" s="315"/>
      <c r="E129" s="316">
        <f t="shared" si="1"/>
        <v>2019</v>
      </c>
      <c r="F129" s="325"/>
      <c r="G129" s="325"/>
    </row>
    <row r="130" spans="2:7" x14ac:dyDescent="0.3">
      <c r="B130" s="358"/>
      <c r="C130" s="359"/>
      <c r="D130" s="315"/>
      <c r="E130" s="316">
        <f t="shared" si="1"/>
        <v>2020</v>
      </c>
      <c r="F130" s="325"/>
      <c r="G130" s="325"/>
    </row>
    <row r="131" spans="2:7" x14ac:dyDescent="0.3">
      <c r="B131" s="358"/>
      <c r="C131" s="359"/>
      <c r="D131" s="315"/>
      <c r="E131" s="316">
        <f t="shared" si="1"/>
        <v>2021</v>
      </c>
      <c r="F131" s="325"/>
      <c r="G131" s="325"/>
    </row>
    <row r="132" spans="2:7" x14ac:dyDescent="0.3">
      <c r="B132" s="358"/>
      <c r="C132" s="359"/>
      <c r="D132" s="315"/>
      <c r="E132" s="316">
        <f t="shared" si="1"/>
        <v>2022</v>
      </c>
      <c r="F132" s="325"/>
      <c r="G132" s="325"/>
    </row>
    <row r="133" spans="2:7" x14ac:dyDescent="0.3">
      <c r="B133" s="358"/>
      <c r="C133" s="359"/>
      <c r="D133" s="315"/>
      <c r="E133" s="316">
        <f t="shared" si="1"/>
        <v>2023</v>
      </c>
      <c r="F133" s="325"/>
      <c r="G133" s="325"/>
    </row>
    <row r="134" spans="2:7" x14ac:dyDescent="0.3">
      <c r="B134" s="358"/>
      <c r="C134" s="359"/>
      <c r="D134" s="315"/>
      <c r="E134" s="316">
        <f t="shared" si="1"/>
        <v>2024</v>
      </c>
      <c r="F134" s="325"/>
      <c r="G134" s="325"/>
    </row>
    <row r="135" spans="2:7" x14ac:dyDescent="0.3">
      <c r="B135" s="358"/>
      <c r="C135" s="359"/>
      <c r="D135" s="315"/>
      <c r="E135" s="316">
        <f t="shared" si="1"/>
        <v>2025</v>
      </c>
      <c r="F135" s="325"/>
      <c r="G135" s="325"/>
    </row>
    <row r="136" spans="2:7" x14ac:dyDescent="0.3">
      <c r="B136" s="358"/>
      <c r="C136" s="359"/>
      <c r="D136" s="315"/>
      <c r="E136" s="316">
        <f t="shared" si="1"/>
        <v>2026</v>
      </c>
      <c r="F136" s="325"/>
      <c r="G136" s="325"/>
    </row>
    <row r="137" spans="2:7" x14ac:dyDescent="0.3">
      <c r="B137" s="358"/>
      <c r="C137" s="359"/>
      <c r="D137" s="315"/>
      <c r="E137" s="316">
        <f t="shared" si="1"/>
        <v>2027</v>
      </c>
      <c r="F137" s="325"/>
      <c r="G137" s="325"/>
    </row>
    <row r="138" spans="2:7" x14ac:dyDescent="0.3">
      <c r="B138" s="358"/>
      <c r="C138" s="359"/>
      <c r="D138" s="315"/>
      <c r="E138" s="316">
        <f t="shared" si="1"/>
        <v>2028</v>
      </c>
      <c r="F138" s="325"/>
      <c r="G138" s="325"/>
    </row>
    <row r="139" spans="2:7" x14ac:dyDescent="0.3">
      <c r="B139" s="358"/>
      <c r="C139" s="359"/>
      <c r="D139" s="315"/>
      <c r="E139" s="316">
        <f t="shared" si="1"/>
        <v>2029</v>
      </c>
      <c r="F139" s="325"/>
      <c r="G139" s="325"/>
    </row>
    <row r="140" spans="2:7" x14ac:dyDescent="0.3">
      <c r="B140" s="358"/>
      <c r="C140" s="359"/>
      <c r="D140" s="318"/>
      <c r="E140" s="316">
        <f t="shared" si="1"/>
        <v>2030</v>
      </c>
      <c r="F140" s="326"/>
      <c r="G140" s="326"/>
    </row>
    <row r="141" spans="2:7" x14ac:dyDescent="0.3">
      <c r="B141" s="358"/>
      <c r="C141" s="359"/>
      <c r="D141" s="318"/>
      <c r="E141" s="316">
        <f t="shared" si="1"/>
        <v>2031</v>
      </c>
      <c r="F141" s="326"/>
      <c r="G141" s="326"/>
    </row>
    <row r="142" spans="2:7" x14ac:dyDescent="0.3">
      <c r="B142" s="358"/>
      <c r="C142" s="359"/>
      <c r="D142" s="318"/>
      <c r="E142" s="316">
        <f t="shared" si="1"/>
        <v>2032</v>
      </c>
      <c r="F142" s="326"/>
      <c r="G142" s="326"/>
    </row>
    <row r="143" spans="2:7" x14ac:dyDescent="0.3">
      <c r="B143" s="358"/>
      <c r="C143" s="359"/>
      <c r="D143" s="318"/>
      <c r="E143" s="316">
        <f t="shared" si="1"/>
        <v>2033</v>
      </c>
      <c r="F143" s="326"/>
      <c r="G143" s="326"/>
    </row>
    <row r="144" spans="2:7" x14ac:dyDescent="0.3">
      <c r="B144" s="358"/>
      <c r="C144" s="359"/>
      <c r="D144" s="318"/>
      <c r="E144" s="316">
        <f t="shared" si="1"/>
        <v>2034</v>
      </c>
      <c r="F144" s="326"/>
      <c r="G144" s="326"/>
    </row>
    <row r="145" spans="2:7" x14ac:dyDescent="0.3">
      <c r="B145" s="358"/>
      <c r="C145" s="359"/>
      <c r="D145" s="318"/>
      <c r="E145" s="316">
        <f t="shared" si="1"/>
        <v>2035</v>
      </c>
      <c r="F145" s="326"/>
      <c r="G145" s="326"/>
    </row>
    <row r="146" spans="2:7" x14ac:dyDescent="0.3">
      <c r="B146" s="358"/>
      <c r="C146" s="359"/>
      <c r="D146" s="318"/>
      <c r="E146" s="316">
        <f t="shared" si="1"/>
        <v>2036</v>
      </c>
      <c r="F146" s="326"/>
      <c r="G146" s="326"/>
    </row>
    <row r="147" spans="2:7" x14ac:dyDescent="0.3">
      <c r="B147" s="358"/>
      <c r="C147" s="359"/>
      <c r="D147" s="318"/>
      <c r="E147" s="316">
        <f t="shared" si="1"/>
        <v>2037</v>
      </c>
      <c r="F147" s="326"/>
      <c r="G147" s="326"/>
    </row>
    <row r="148" spans="2:7" x14ac:dyDescent="0.3">
      <c r="B148" s="358"/>
      <c r="C148" s="359"/>
      <c r="D148" s="318"/>
      <c r="E148" s="316">
        <f t="shared" si="1"/>
        <v>2038</v>
      </c>
      <c r="F148" s="326"/>
      <c r="G148" s="326"/>
    </row>
    <row r="149" spans="2:7" x14ac:dyDescent="0.3">
      <c r="B149" s="358"/>
      <c r="C149" s="359"/>
      <c r="D149" s="318"/>
      <c r="E149" s="316">
        <f t="shared" si="1"/>
        <v>2039</v>
      </c>
      <c r="F149" s="326"/>
      <c r="G149" s="326"/>
    </row>
    <row r="150" spans="2:7" x14ac:dyDescent="0.3">
      <c r="B150" s="358"/>
      <c r="C150" s="359"/>
      <c r="D150" s="318"/>
      <c r="E150" s="316">
        <f t="shared" si="1"/>
        <v>2040</v>
      </c>
      <c r="F150" s="326"/>
      <c r="G150" s="326"/>
    </row>
    <row r="151" spans="2:7" x14ac:dyDescent="0.3">
      <c r="B151" s="358"/>
      <c r="C151" s="359"/>
      <c r="D151" s="318"/>
      <c r="E151" s="316">
        <f t="shared" si="1"/>
        <v>2041</v>
      </c>
      <c r="F151" s="326"/>
      <c r="G151" s="326"/>
    </row>
    <row r="152" spans="2:7" x14ac:dyDescent="0.3">
      <c r="B152" s="358"/>
      <c r="C152" s="359"/>
      <c r="D152" s="318"/>
      <c r="E152" s="316">
        <f t="shared" si="1"/>
        <v>2042</v>
      </c>
      <c r="F152" s="326"/>
      <c r="G152" s="326"/>
    </row>
    <row r="153" spans="2:7" x14ac:dyDescent="0.3">
      <c r="B153" s="358"/>
      <c r="C153" s="359"/>
      <c r="D153" s="318"/>
      <c r="E153" s="316">
        <f t="shared" si="1"/>
        <v>2043</v>
      </c>
      <c r="F153" s="326"/>
      <c r="G153" s="326"/>
    </row>
    <row r="154" spans="2:7" x14ac:dyDescent="0.3">
      <c r="B154" s="358"/>
      <c r="C154" s="359"/>
      <c r="D154" s="318"/>
      <c r="E154" s="316">
        <f t="shared" si="1"/>
        <v>2044</v>
      </c>
      <c r="F154" s="326"/>
      <c r="G154" s="326"/>
    </row>
    <row r="155" spans="2:7" x14ac:dyDescent="0.3">
      <c r="B155" s="358"/>
      <c r="C155" s="359"/>
      <c r="D155" s="318"/>
      <c r="E155" s="316">
        <f t="shared" si="1"/>
        <v>2045</v>
      </c>
      <c r="F155" s="326"/>
      <c r="G155" s="326"/>
    </row>
    <row r="156" spans="2:7" x14ac:dyDescent="0.3">
      <c r="B156" s="358"/>
      <c r="C156" s="359"/>
      <c r="D156" s="318"/>
      <c r="E156" s="316">
        <f t="shared" si="1"/>
        <v>2046</v>
      </c>
      <c r="F156" s="326"/>
      <c r="G156" s="326"/>
    </row>
    <row r="157" spans="2:7" x14ac:dyDescent="0.3">
      <c r="B157" s="358"/>
      <c r="C157" s="359"/>
      <c r="D157" s="318"/>
      <c r="E157" s="316">
        <f t="shared" si="1"/>
        <v>2047</v>
      </c>
      <c r="F157" s="326"/>
      <c r="G157" s="326"/>
    </row>
    <row r="158" spans="2:7" x14ac:dyDescent="0.3">
      <c r="B158" s="358"/>
      <c r="C158" s="359"/>
      <c r="D158" s="318"/>
      <c r="E158" s="316">
        <f t="shared" si="1"/>
        <v>2048</v>
      </c>
      <c r="F158" s="326"/>
      <c r="G158" s="326"/>
    </row>
    <row r="159" spans="2:7" x14ac:dyDescent="0.3">
      <c r="B159" s="358"/>
      <c r="C159" s="359"/>
      <c r="D159" s="318"/>
      <c r="E159" s="316">
        <f t="shared" si="1"/>
        <v>2049</v>
      </c>
      <c r="F159" s="326"/>
      <c r="G159" s="326"/>
    </row>
    <row r="160" spans="2:7" x14ac:dyDescent="0.3">
      <c r="B160" s="360"/>
      <c r="C160" s="319"/>
      <c r="D160" s="320"/>
      <c r="E160" s="316">
        <f t="shared" si="1"/>
        <v>2050</v>
      </c>
      <c r="F160" s="327"/>
      <c r="G160" s="327"/>
    </row>
    <row r="161" spans="2:7" x14ac:dyDescent="0.3">
      <c r="B161" s="196" t="s">
        <v>157</v>
      </c>
      <c r="C161" s="197"/>
      <c r="D161" s="197"/>
      <c r="E161" s="198"/>
      <c r="F161" s="198"/>
      <c r="G161" s="335"/>
    </row>
    <row r="162" spans="2:7" x14ac:dyDescent="0.3">
      <c r="B162" s="342" t="s">
        <v>158</v>
      </c>
      <c r="C162" s="351"/>
      <c r="D162" s="306"/>
      <c r="E162" s="217">
        <v>2016</v>
      </c>
      <c r="F162" s="328"/>
      <c r="G162" s="328"/>
    </row>
    <row r="163" spans="2:7" x14ac:dyDescent="0.3">
      <c r="B163" s="361" t="s">
        <v>154</v>
      </c>
      <c r="C163" s="351"/>
      <c r="D163" s="306"/>
      <c r="E163" s="217">
        <f t="shared" ref="E163:E196" si="2">E162+1</f>
        <v>2017</v>
      </c>
      <c r="F163" s="328"/>
      <c r="G163" s="328"/>
    </row>
    <row r="164" spans="2:7" x14ac:dyDescent="0.3">
      <c r="B164" s="109"/>
      <c r="C164" s="49"/>
      <c r="D164" s="306"/>
      <c r="E164" s="217">
        <f t="shared" si="2"/>
        <v>2018</v>
      </c>
      <c r="F164" s="328">
        <v>1</v>
      </c>
      <c r="G164" s="328">
        <v>1</v>
      </c>
    </row>
    <row r="165" spans="2:7" x14ac:dyDescent="0.3">
      <c r="B165" s="109"/>
      <c r="C165" s="49"/>
      <c r="D165" s="306"/>
      <c r="E165" s="217">
        <f t="shared" si="2"/>
        <v>2019</v>
      </c>
      <c r="F165" s="328">
        <v>1</v>
      </c>
      <c r="G165" s="328">
        <v>1</v>
      </c>
    </row>
    <row r="166" spans="2:7" x14ac:dyDescent="0.3">
      <c r="B166" s="109"/>
      <c r="C166" s="49"/>
      <c r="D166" s="306"/>
      <c r="E166" s="217">
        <f t="shared" si="2"/>
        <v>2020</v>
      </c>
      <c r="F166" s="328">
        <v>1</v>
      </c>
      <c r="G166" s="328">
        <v>1</v>
      </c>
    </row>
    <row r="167" spans="2:7" x14ac:dyDescent="0.3">
      <c r="B167" s="109"/>
      <c r="C167" s="49"/>
      <c r="D167" s="306"/>
      <c r="E167" s="217">
        <f t="shared" si="2"/>
        <v>2021</v>
      </c>
      <c r="F167" s="328">
        <v>0.94864864864864873</v>
      </c>
      <c r="G167" s="328">
        <v>0.94864864864864873</v>
      </c>
    </row>
    <row r="168" spans="2:7" x14ac:dyDescent="0.3">
      <c r="B168" s="109"/>
      <c r="C168" s="49"/>
      <c r="D168" s="306"/>
      <c r="E168" s="217">
        <f t="shared" si="2"/>
        <v>2022</v>
      </c>
      <c r="F168" s="328">
        <v>0.89459459459459467</v>
      </c>
      <c r="G168" s="328">
        <v>0.89459459459459467</v>
      </c>
    </row>
    <row r="169" spans="2:7" x14ac:dyDescent="0.3">
      <c r="B169" s="109"/>
      <c r="C169" s="49"/>
      <c r="D169" s="306"/>
      <c r="E169" s="217">
        <f t="shared" si="2"/>
        <v>2023</v>
      </c>
      <c r="F169" s="328">
        <v>0.84324324324324329</v>
      </c>
      <c r="G169" s="328">
        <v>0.84324324324324329</v>
      </c>
    </row>
    <row r="170" spans="2:7" x14ac:dyDescent="0.3">
      <c r="B170" s="109"/>
      <c r="C170" s="49"/>
      <c r="D170" s="306"/>
      <c r="E170" s="217">
        <f t="shared" si="2"/>
        <v>2024</v>
      </c>
      <c r="F170" s="328">
        <v>0.79189189189189191</v>
      </c>
      <c r="G170" s="328">
        <v>0.79189189189189191</v>
      </c>
    </row>
    <row r="171" spans="2:7" x14ac:dyDescent="0.3">
      <c r="B171" s="109"/>
      <c r="C171" s="49"/>
      <c r="D171" s="306"/>
      <c r="E171" s="217">
        <f t="shared" si="2"/>
        <v>2025</v>
      </c>
      <c r="F171" s="328">
        <v>0.73783783783783785</v>
      </c>
      <c r="G171" s="328">
        <v>0.73783783783783785</v>
      </c>
    </row>
    <row r="172" spans="2:7" x14ac:dyDescent="0.3">
      <c r="B172" s="109"/>
      <c r="C172" s="49"/>
      <c r="D172" s="306"/>
      <c r="E172" s="217">
        <f t="shared" si="2"/>
        <v>2026</v>
      </c>
      <c r="F172" s="328">
        <v>0.70270270270270274</v>
      </c>
      <c r="G172" s="328">
        <v>0.70270270270270274</v>
      </c>
    </row>
    <row r="173" spans="2:7" x14ac:dyDescent="0.3">
      <c r="B173" s="109"/>
      <c r="C173" s="49"/>
      <c r="D173" s="306"/>
      <c r="E173" s="217">
        <f t="shared" si="2"/>
        <v>2027</v>
      </c>
      <c r="F173" s="328">
        <v>0.66756756756756763</v>
      </c>
      <c r="G173" s="328">
        <v>0.66756756756756763</v>
      </c>
    </row>
    <row r="174" spans="2:7" x14ac:dyDescent="0.3">
      <c r="B174" s="109"/>
      <c r="C174" s="49"/>
      <c r="D174" s="306"/>
      <c r="E174" s="217">
        <f t="shared" si="2"/>
        <v>2028</v>
      </c>
      <c r="F174" s="328">
        <v>0.63243243243243241</v>
      </c>
      <c r="G174" s="328">
        <v>0.63243243243243241</v>
      </c>
    </row>
    <row r="175" spans="2:7" x14ac:dyDescent="0.3">
      <c r="B175" s="109"/>
      <c r="C175" s="49"/>
      <c r="D175" s="306"/>
      <c r="E175" s="217">
        <f t="shared" si="2"/>
        <v>2029</v>
      </c>
      <c r="F175" s="328">
        <v>0.5972972972972973</v>
      </c>
      <c r="G175" s="328">
        <v>0.5972972972972973</v>
      </c>
    </row>
    <row r="176" spans="2:7" x14ac:dyDescent="0.3">
      <c r="B176" s="109"/>
      <c r="C176" s="49"/>
      <c r="D176" s="308"/>
      <c r="E176" s="217">
        <f t="shared" si="2"/>
        <v>2030</v>
      </c>
      <c r="F176" s="328">
        <v>0.56216216216216208</v>
      </c>
      <c r="G176" s="328">
        <v>0.56216216216216208</v>
      </c>
    </row>
    <row r="177" spans="2:7" x14ac:dyDescent="0.3">
      <c r="B177" s="109"/>
      <c r="C177" s="49"/>
      <c r="D177" s="308"/>
      <c r="E177" s="217">
        <f t="shared" si="2"/>
        <v>2031</v>
      </c>
      <c r="F177" s="328">
        <v>0.55405405405405417</v>
      </c>
      <c r="G177" s="328">
        <v>0.55405405405405417</v>
      </c>
    </row>
    <row r="178" spans="2:7" x14ac:dyDescent="0.3">
      <c r="B178" s="109"/>
      <c r="C178" s="49"/>
      <c r="D178" s="308"/>
      <c r="E178" s="217">
        <f t="shared" si="2"/>
        <v>2032</v>
      </c>
      <c r="F178" s="328">
        <v>0.54864864864864871</v>
      </c>
      <c r="G178" s="328">
        <v>0.54864864864864871</v>
      </c>
    </row>
    <row r="179" spans="2:7" x14ac:dyDescent="0.3">
      <c r="B179" s="109"/>
      <c r="C179" s="49"/>
      <c r="D179" s="308"/>
      <c r="E179" s="217">
        <f t="shared" si="2"/>
        <v>2033</v>
      </c>
      <c r="F179" s="328">
        <v>0.54054054054054057</v>
      </c>
      <c r="G179" s="328">
        <v>0.54054054054054057</v>
      </c>
    </row>
    <row r="180" spans="2:7" x14ac:dyDescent="0.3">
      <c r="B180" s="109"/>
      <c r="C180" s="49"/>
      <c r="D180" s="308"/>
      <c r="E180" s="217">
        <f t="shared" si="2"/>
        <v>2034</v>
      </c>
      <c r="F180" s="328">
        <v>0.53513513513513511</v>
      </c>
      <c r="G180" s="328">
        <v>0.53513513513513511</v>
      </c>
    </row>
    <row r="181" spans="2:7" x14ac:dyDescent="0.3">
      <c r="B181" s="109"/>
      <c r="C181" s="49"/>
      <c r="D181" s="308"/>
      <c r="E181" s="217">
        <f t="shared" si="2"/>
        <v>2035</v>
      </c>
      <c r="F181" s="328">
        <v>0.52702702702702708</v>
      </c>
      <c r="G181" s="328">
        <v>0.52702702702702708</v>
      </c>
    </row>
    <row r="182" spans="2:7" x14ac:dyDescent="0.3">
      <c r="B182" s="109"/>
      <c r="C182" s="49"/>
      <c r="D182" s="308"/>
      <c r="E182" s="217">
        <f t="shared" si="2"/>
        <v>2036</v>
      </c>
      <c r="F182" s="328">
        <v>0.51891891891891895</v>
      </c>
      <c r="G182" s="328">
        <v>0.51891891891891895</v>
      </c>
    </row>
    <row r="183" spans="2:7" x14ac:dyDescent="0.3">
      <c r="B183" s="109"/>
      <c r="C183" s="49"/>
      <c r="D183" s="308"/>
      <c r="E183" s="217">
        <f t="shared" si="2"/>
        <v>2037</v>
      </c>
      <c r="F183" s="328">
        <v>0.51351351351351349</v>
      </c>
      <c r="G183" s="328">
        <v>0.51351351351351349</v>
      </c>
    </row>
    <row r="184" spans="2:7" x14ac:dyDescent="0.3">
      <c r="B184" s="109"/>
      <c r="C184" s="49"/>
      <c r="D184" s="308"/>
      <c r="E184" s="217">
        <f t="shared" si="2"/>
        <v>2038</v>
      </c>
      <c r="F184" s="328">
        <v>0.50540540540540535</v>
      </c>
      <c r="G184" s="328">
        <v>0.50540540540540535</v>
      </c>
    </row>
    <row r="185" spans="2:7" x14ac:dyDescent="0.3">
      <c r="B185" s="109"/>
      <c r="C185" s="49"/>
      <c r="D185" s="308"/>
      <c r="E185" s="217">
        <f t="shared" si="2"/>
        <v>2039</v>
      </c>
      <c r="F185" s="328">
        <v>0.5</v>
      </c>
      <c r="G185" s="328">
        <v>0.5</v>
      </c>
    </row>
    <row r="186" spans="2:7" x14ac:dyDescent="0.3">
      <c r="B186" s="109"/>
      <c r="C186" s="49"/>
      <c r="D186" s="308"/>
      <c r="E186" s="217">
        <f t="shared" si="2"/>
        <v>2040</v>
      </c>
      <c r="F186" s="328">
        <v>0.49189189189189186</v>
      </c>
      <c r="G186" s="328">
        <v>0.49189189189189186</v>
      </c>
    </row>
    <row r="187" spans="2:7" x14ac:dyDescent="0.3">
      <c r="B187" s="109"/>
      <c r="C187" s="49"/>
      <c r="D187" s="308"/>
      <c r="E187" s="217">
        <f t="shared" si="2"/>
        <v>2041</v>
      </c>
      <c r="F187" s="328">
        <v>0.48378378378378384</v>
      </c>
      <c r="G187" s="328">
        <v>0.48378378378378384</v>
      </c>
    </row>
    <row r="188" spans="2:7" x14ac:dyDescent="0.3">
      <c r="B188" s="109"/>
      <c r="C188" s="49"/>
      <c r="D188" s="308"/>
      <c r="E188" s="217">
        <f t="shared" si="2"/>
        <v>2042</v>
      </c>
      <c r="F188" s="328">
        <v>0.47837837837837838</v>
      </c>
      <c r="G188" s="328">
        <v>0.47837837837837838</v>
      </c>
    </row>
    <row r="189" spans="2:7" x14ac:dyDescent="0.3">
      <c r="B189" s="109"/>
      <c r="C189" s="49"/>
      <c r="D189" s="308"/>
      <c r="E189" s="217">
        <f t="shared" si="2"/>
        <v>2043</v>
      </c>
      <c r="F189" s="328">
        <v>0.4702702702702703</v>
      </c>
      <c r="G189" s="328">
        <v>0.4702702702702703</v>
      </c>
    </row>
    <row r="190" spans="2:7" x14ac:dyDescent="0.3">
      <c r="B190" s="109"/>
      <c r="C190" s="49"/>
      <c r="D190" s="308"/>
      <c r="E190" s="217">
        <f t="shared" si="2"/>
        <v>2044</v>
      </c>
      <c r="F190" s="328">
        <v>0.46486486486486489</v>
      </c>
      <c r="G190" s="328">
        <v>0.46486486486486489</v>
      </c>
    </row>
    <row r="191" spans="2:7" x14ac:dyDescent="0.3">
      <c r="B191" s="109"/>
      <c r="C191" s="49"/>
      <c r="D191" s="308"/>
      <c r="E191" s="217">
        <f t="shared" si="2"/>
        <v>2045</v>
      </c>
      <c r="F191" s="328">
        <v>0.45675675675675675</v>
      </c>
      <c r="G191" s="328">
        <v>0.45675675675675675</v>
      </c>
    </row>
    <row r="192" spans="2:7" x14ac:dyDescent="0.3">
      <c r="B192" s="109"/>
      <c r="C192" s="49"/>
      <c r="D192" s="308"/>
      <c r="E192" s="217">
        <f t="shared" si="2"/>
        <v>2046</v>
      </c>
      <c r="F192" s="328">
        <v>0.44864864864864867</v>
      </c>
      <c r="G192" s="328">
        <v>0.44864864864864867</v>
      </c>
    </row>
    <row r="193" spans="2:7" x14ac:dyDescent="0.3">
      <c r="B193" s="109"/>
      <c r="C193" s="49"/>
      <c r="D193" s="308"/>
      <c r="E193" s="217">
        <f t="shared" si="2"/>
        <v>2047</v>
      </c>
      <c r="F193" s="328">
        <v>0.44324324324324327</v>
      </c>
      <c r="G193" s="328">
        <v>0.44324324324324327</v>
      </c>
    </row>
    <row r="194" spans="2:7" x14ac:dyDescent="0.3">
      <c r="B194" s="109"/>
      <c r="C194" s="49"/>
      <c r="D194" s="308"/>
      <c r="E194" s="217">
        <f t="shared" si="2"/>
        <v>2048</v>
      </c>
      <c r="F194" s="328">
        <v>0.43513513513513513</v>
      </c>
      <c r="G194" s="328">
        <v>0.43513513513513513</v>
      </c>
    </row>
    <row r="195" spans="2:7" x14ac:dyDescent="0.3">
      <c r="B195" s="109"/>
      <c r="C195" s="49"/>
      <c r="D195" s="308"/>
      <c r="E195" s="217">
        <f t="shared" si="2"/>
        <v>2049</v>
      </c>
      <c r="F195" s="328">
        <v>0.42972972972972973</v>
      </c>
      <c r="G195" s="328">
        <v>0.42972972972972973</v>
      </c>
    </row>
    <row r="196" spans="2:7" x14ac:dyDescent="0.3">
      <c r="B196" s="108"/>
      <c r="C196" s="27"/>
      <c r="D196" s="313"/>
      <c r="E196" s="221">
        <f t="shared" si="2"/>
        <v>2050</v>
      </c>
      <c r="F196" s="362">
        <v>0.42162162162162165</v>
      </c>
      <c r="G196" s="362">
        <v>0.42162162162162165</v>
      </c>
    </row>
    <row r="197" spans="2:7" x14ac:dyDescent="0.3">
      <c r="C197" s="27"/>
      <c r="D197" s="329"/>
      <c r="E197" s="27"/>
      <c r="F197" s="27"/>
      <c r="G197" s="27"/>
    </row>
    <row r="198" spans="2:7" x14ac:dyDescent="0.3">
      <c r="B198" s="342" t="s">
        <v>159</v>
      </c>
      <c r="C198" s="363"/>
      <c r="D198" s="364"/>
      <c r="E198" s="204">
        <v>2016</v>
      </c>
      <c r="F198" s="365"/>
      <c r="G198" s="365"/>
    </row>
    <row r="199" spans="2:7" x14ac:dyDescent="0.3">
      <c r="B199" s="361" t="s">
        <v>154</v>
      </c>
      <c r="C199" s="351"/>
      <c r="D199" s="306"/>
      <c r="E199" s="217">
        <f t="shared" ref="E199:E232" si="3">E198+1</f>
        <v>2017</v>
      </c>
      <c r="F199" s="328"/>
      <c r="G199" s="328"/>
    </row>
    <row r="200" spans="2:7" x14ac:dyDescent="0.3">
      <c r="B200" s="109"/>
      <c r="C200" s="49"/>
      <c r="D200" s="306"/>
      <c r="E200" s="217">
        <f t="shared" si="3"/>
        <v>2018</v>
      </c>
      <c r="F200" s="328">
        <v>1</v>
      </c>
      <c r="G200" s="328">
        <v>1</v>
      </c>
    </row>
    <row r="201" spans="2:7" x14ac:dyDescent="0.3">
      <c r="B201" s="109"/>
      <c r="C201" s="49"/>
      <c r="D201" s="306"/>
      <c r="E201" s="217">
        <f t="shared" si="3"/>
        <v>2019</v>
      </c>
      <c r="F201" s="328">
        <v>1</v>
      </c>
      <c r="G201" s="328">
        <v>1</v>
      </c>
    </row>
    <row r="202" spans="2:7" x14ac:dyDescent="0.3">
      <c r="B202" s="109"/>
      <c r="C202" s="49"/>
      <c r="D202" s="306"/>
      <c r="E202" s="217">
        <f t="shared" si="3"/>
        <v>2020</v>
      </c>
      <c r="F202" s="328">
        <v>1</v>
      </c>
      <c r="G202" s="328">
        <v>1</v>
      </c>
    </row>
    <row r="203" spans="2:7" x14ac:dyDescent="0.3">
      <c r="B203" s="109"/>
      <c r="C203" s="49"/>
      <c r="D203" s="306"/>
      <c r="E203" s="217">
        <f t="shared" si="3"/>
        <v>2021</v>
      </c>
      <c r="F203" s="328">
        <v>1</v>
      </c>
      <c r="G203" s="328">
        <v>1</v>
      </c>
    </row>
    <row r="204" spans="2:7" x14ac:dyDescent="0.3">
      <c r="B204" s="109"/>
      <c r="C204" s="49"/>
      <c r="D204" s="306"/>
      <c r="E204" s="217">
        <f t="shared" si="3"/>
        <v>2022</v>
      </c>
      <c r="F204" s="328">
        <v>1</v>
      </c>
      <c r="G204" s="328">
        <v>1</v>
      </c>
    </row>
    <row r="205" spans="2:7" x14ac:dyDescent="0.3">
      <c r="B205" s="109"/>
      <c r="C205" s="49"/>
      <c r="D205" s="306"/>
      <c r="E205" s="217">
        <f t="shared" si="3"/>
        <v>2023</v>
      </c>
      <c r="F205" s="328">
        <v>1</v>
      </c>
      <c r="G205" s="328">
        <v>1</v>
      </c>
    </row>
    <row r="206" spans="2:7" x14ac:dyDescent="0.3">
      <c r="B206" s="109"/>
      <c r="C206" s="49"/>
      <c r="D206" s="306"/>
      <c r="E206" s="217">
        <f t="shared" si="3"/>
        <v>2024</v>
      </c>
      <c r="F206" s="328">
        <v>1</v>
      </c>
      <c r="G206" s="328">
        <v>1</v>
      </c>
    </row>
    <row r="207" spans="2:7" x14ac:dyDescent="0.3">
      <c r="B207" s="109"/>
      <c r="C207" s="49"/>
      <c r="D207" s="306"/>
      <c r="E207" s="217">
        <f t="shared" si="3"/>
        <v>2025</v>
      </c>
      <c r="F207" s="328">
        <v>1</v>
      </c>
      <c r="G207" s="328">
        <v>1</v>
      </c>
    </row>
    <row r="208" spans="2:7" x14ac:dyDescent="0.3">
      <c r="B208" s="109"/>
      <c r="C208" s="49"/>
      <c r="D208" s="306"/>
      <c r="E208" s="217">
        <f t="shared" si="3"/>
        <v>2026</v>
      </c>
      <c r="F208" s="328">
        <v>1</v>
      </c>
      <c r="G208" s="328">
        <v>1</v>
      </c>
    </row>
    <row r="209" spans="2:7" x14ac:dyDescent="0.3">
      <c r="B209" s="109"/>
      <c r="C209" s="49"/>
      <c r="D209" s="306"/>
      <c r="E209" s="217">
        <f t="shared" si="3"/>
        <v>2027</v>
      </c>
      <c r="F209" s="328">
        <v>1</v>
      </c>
      <c r="G209" s="328">
        <v>1</v>
      </c>
    </row>
    <row r="210" spans="2:7" x14ac:dyDescent="0.3">
      <c r="B210" s="109"/>
      <c r="C210" s="49"/>
      <c r="D210" s="306"/>
      <c r="E210" s="217">
        <f t="shared" si="3"/>
        <v>2028</v>
      </c>
      <c r="F210" s="328">
        <v>1</v>
      </c>
      <c r="G210" s="328">
        <v>1</v>
      </c>
    </row>
    <row r="211" spans="2:7" x14ac:dyDescent="0.3">
      <c r="B211" s="109"/>
      <c r="C211" s="49"/>
      <c r="D211" s="306"/>
      <c r="E211" s="217">
        <f t="shared" si="3"/>
        <v>2029</v>
      </c>
      <c r="F211" s="328">
        <v>1</v>
      </c>
      <c r="G211" s="328">
        <v>1</v>
      </c>
    </row>
    <row r="212" spans="2:7" x14ac:dyDescent="0.3">
      <c r="B212" s="109"/>
      <c r="C212" s="49"/>
      <c r="D212" s="308"/>
      <c r="E212" s="217">
        <f t="shared" si="3"/>
        <v>2030</v>
      </c>
      <c r="F212" s="328">
        <v>1</v>
      </c>
      <c r="G212" s="328">
        <v>1</v>
      </c>
    </row>
    <row r="213" spans="2:7" x14ac:dyDescent="0.3">
      <c r="B213" s="109"/>
      <c r="C213" s="49"/>
      <c r="D213" s="308"/>
      <c r="E213" s="217">
        <f t="shared" si="3"/>
        <v>2031</v>
      </c>
      <c r="F213" s="328">
        <v>1</v>
      </c>
      <c r="G213" s="328">
        <v>1</v>
      </c>
    </row>
    <row r="214" spans="2:7" x14ac:dyDescent="0.3">
      <c r="B214" s="109"/>
      <c r="C214" s="49"/>
      <c r="D214" s="308"/>
      <c r="E214" s="217">
        <f t="shared" si="3"/>
        <v>2032</v>
      </c>
      <c r="F214" s="328">
        <v>1</v>
      </c>
      <c r="G214" s="328">
        <v>1</v>
      </c>
    </row>
    <row r="215" spans="2:7" x14ac:dyDescent="0.3">
      <c r="B215" s="109"/>
      <c r="C215" s="49"/>
      <c r="D215" s="308"/>
      <c r="E215" s="217">
        <f t="shared" si="3"/>
        <v>2033</v>
      </c>
      <c r="F215" s="328">
        <v>1</v>
      </c>
      <c r="G215" s="328">
        <v>1</v>
      </c>
    </row>
    <row r="216" spans="2:7" x14ac:dyDescent="0.3">
      <c r="B216" s="109"/>
      <c r="C216" s="49"/>
      <c r="D216" s="308"/>
      <c r="E216" s="217">
        <f t="shared" si="3"/>
        <v>2034</v>
      </c>
      <c r="F216" s="328">
        <v>1</v>
      </c>
      <c r="G216" s="328">
        <v>1</v>
      </c>
    </row>
    <row r="217" spans="2:7" x14ac:dyDescent="0.3">
      <c r="B217" s="109"/>
      <c r="C217" s="49"/>
      <c r="D217" s="308"/>
      <c r="E217" s="217">
        <f t="shared" si="3"/>
        <v>2035</v>
      </c>
      <c r="F217" s="328">
        <v>1</v>
      </c>
      <c r="G217" s="328">
        <v>1</v>
      </c>
    </row>
    <row r="218" spans="2:7" x14ac:dyDescent="0.3">
      <c r="B218" s="109"/>
      <c r="C218" s="49"/>
      <c r="D218" s="308"/>
      <c r="E218" s="217">
        <f t="shared" si="3"/>
        <v>2036</v>
      </c>
      <c r="F218" s="328">
        <v>1</v>
      </c>
      <c r="G218" s="328">
        <v>1</v>
      </c>
    </row>
    <row r="219" spans="2:7" x14ac:dyDescent="0.3">
      <c r="B219" s="109"/>
      <c r="C219" s="49"/>
      <c r="D219" s="308"/>
      <c r="E219" s="217">
        <f t="shared" si="3"/>
        <v>2037</v>
      </c>
      <c r="F219" s="328">
        <v>1</v>
      </c>
      <c r="G219" s="328">
        <v>1</v>
      </c>
    </row>
    <row r="220" spans="2:7" x14ac:dyDescent="0.3">
      <c r="B220" s="109"/>
      <c r="C220" s="49"/>
      <c r="D220" s="308"/>
      <c r="E220" s="217">
        <f t="shared" si="3"/>
        <v>2038</v>
      </c>
      <c r="F220" s="328">
        <v>1</v>
      </c>
      <c r="G220" s="328">
        <v>1</v>
      </c>
    </row>
    <row r="221" spans="2:7" x14ac:dyDescent="0.3">
      <c r="B221" s="109"/>
      <c r="C221" s="49"/>
      <c r="D221" s="308"/>
      <c r="E221" s="217">
        <f t="shared" si="3"/>
        <v>2039</v>
      </c>
      <c r="F221" s="328">
        <v>1</v>
      </c>
      <c r="G221" s="328">
        <v>1</v>
      </c>
    </row>
    <row r="222" spans="2:7" x14ac:dyDescent="0.3">
      <c r="B222" s="109"/>
      <c r="C222" s="49"/>
      <c r="D222" s="308"/>
      <c r="E222" s="217">
        <f t="shared" si="3"/>
        <v>2040</v>
      </c>
      <c r="F222" s="328">
        <v>1</v>
      </c>
      <c r="G222" s="328">
        <v>1</v>
      </c>
    </row>
    <row r="223" spans="2:7" x14ac:dyDescent="0.3">
      <c r="B223" s="109"/>
      <c r="C223" s="49"/>
      <c r="D223" s="308"/>
      <c r="E223" s="217">
        <f t="shared" si="3"/>
        <v>2041</v>
      </c>
      <c r="F223" s="328">
        <v>1</v>
      </c>
      <c r="G223" s="328">
        <v>1</v>
      </c>
    </row>
    <row r="224" spans="2:7" x14ac:dyDescent="0.3">
      <c r="B224" s="109"/>
      <c r="C224" s="49"/>
      <c r="D224" s="308"/>
      <c r="E224" s="217">
        <f t="shared" si="3"/>
        <v>2042</v>
      </c>
      <c r="F224" s="328">
        <v>1</v>
      </c>
      <c r="G224" s="328">
        <v>1</v>
      </c>
    </row>
    <row r="225" spans="2:7" x14ac:dyDescent="0.3">
      <c r="B225" s="109"/>
      <c r="C225" s="49"/>
      <c r="D225" s="308"/>
      <c r="E225" s="217">
        <f t="shared" si="3"/>
        <v>2043</v>
      </c>
      <c r="F225" s="328">
        <v>1</v>
      </c>
      <c r="G225" s="328">
        <v>1</v>
      </c>
    </row>
    <row r="226" spans="2:7" x14ac:dyDescent="0.3">
      <c r="B226" s="109"/>
      <c r="C226" s="49"/>
      <c r="D226" s="308"/>
      <c r="E226" s="217">
        <f t="shared" si="3"/>
        <v>2044</v>
      </c>
      <c r="F226" s="328">
        <v>1</v>
      </c>
      <c r="G226" s="328">
        <v>1</v>
      </c>
    </row>
    <row r="227" spans="2:7" x14ac:dyDescent="0.3">
      <c r="B227" s="109"/>
      <c r="C227" s="49"/>
      <c r="D227" s="308"/>
      <c r="E227" s="217">
        <f t="shared" si="3"/>
        <v>2045</v>
      </c>
      <c r="F227" s="328">
        <v>1</v>
      </c>
      <c r="G227" s="328">
        <v>1</v>
      </c>
    </row>
    <row r="228" spans="2:7" x14ac:dyDescent="0.3">
      <c r="B228" s="109"/>
      <c r="C228" s="49"/>
      <c r="D228" s="308"/>
      <c r="E228" s="217">
        <f t="shared" si="3"/>
        <v>2046</v>
      </c>
      <c r="F228" s="328">
        <v>1</v>
      </c>
      <c r="G228" s="328">
        <v>1</v>
      </c>
    </row>
    <row r="229" spans="2:7" x14ac:dyDescent="0.3">
      <c r="B229" s="109"/>
      <c r="C229" s="49"/>
      <c r="D229" s="308"/>
      <c r="E229" s="217">
        <f t="shared" si="3"/>
        <v>2047</v>
      </c>
      <c r="F229" s="328">
        <v>1</v>
      </c>
      <c r="G229" s="328">
        <v>1</v>
      </c>
    </row>
    <row r="230" spans="2:7" x14ac:dyDescent="0.3">
      <c r="B230" s="109"/>
      <c r="C230" s="49"/>
      <c r="D230" s="308"/>
      <c r="E230" s="217">
        <f t="shared" si="3"/>
        <v>2048</v>
      </c>
      <c r="F230" s="328">
        <v>1</v>
      </c>
      <c r="G230" s="328">
        <v>1</v>
      </c>
    </row>
    <row r="231" spans="2:7" x14ac:dyDescent="0.3">
      <c r="B231" s="109"/>
      <c r="C231" s="49"/>
      <c r="D231" s="308"/>
      <c r="E231" s="217">
        <f t="shared" si="3"/>
        <v>2049</v>
      </c>
      <c r="F231" s="328">
        <v>1</v>
      </c>
      <c r="G231" s="328">
        <v>1</v>
      </c>
    </row>
    <row r="232" spans="2:7" x14ac:dyDescent="0.3">
      <c r="B232" s="108"/>
      <c r="C232" s="27"/>
      <c r="D232" s="313"/>
      <c r="E232" s="221">
        <f t="shared" si="3"/>
        <v>2050</v>
      </c>
      <c r="F232" s="362">
        <v>1</v>
      </c>
      <c r="G232" s="362">
        <v>1</v>
      </c>
    </row>
    <row r="233" spans="2:7" x14ac:dyDescent="0.3">
      <c r="B233" s="27"/>
    </row>
    <row r="234" spans="2:7" x14ac:dyDescent="0.3">
      <c r="B234" s="196" t="s">
        <v>160</v>
      </c>
      <c r="C234" s="197"/>
      <c r="D234" s="197"/>
      <c r="E234" s="198"/>
      <c r="F234" s="198"/>
      <c r="G234" s="335"/>
    </row>
    <row r="235" spans="2:7" x14ac:dyDescent="0.3">
      <c r="B235" s="342" t="s">
        <v>161</v>
      </c>
      <c r="C235" s="351"/>
      <c r="D235" s="306"/>
      <c r="E235" s="217">
        <v>2016</v>
      </c>
      <c r="F235" s="330"/>
      <c r="G235" s="330"/>
    </row>
    <row r="236" spans="2:7" x14ac:dyDescent="0.3">
      <c r="B236" s="361" t="s">
        <v>154</v>
      </c>
      <c r="C236" s="351"/>
      <c r="D236" s="306"/>
      <c r="E236" s="217">
        <f t="shared" ref="E236:E269" si="4">E235+1</f>
        <v>2017</v>
      </c>
      <c r="F236" s="330"/>
      <c r="G236" s="330"/>
    </row>
    <row r="237" spans="2:7" x14ac:dyDescent="0.3">
      <c r="B237" s="109"/>
      <c r="C237" s="49"/>
      <c r="D237" s="306"/>
      <c r="E237" s="217">
        <f t="shared" si="4"/>
        <v>2018</v>
      </c>
      <c r="F237" s="330">
        <v>0.10892879591325716</v>
      </c>
      <c r="G237" s="330">
        <v>0.10892879591325716</v>
      </c>
    </row>
    <row r="238" spans="2:7" x14ac:dyDescent="0.3">
      <c r="B238" s="109"/>
      <c r="C238" s="49"/>
      <c r="D238" s="306"/>
      <c r="E238" s="217">
        <f t="shared" si="4"/>
        <v>2019</v>
      </c>
      <c r="F238" s="330">
        <v>9.906184211348576E-2</v>
      </c>
      <c r="G238" s="330">
        <v>9.906184211348576E-2</v>
      </c>
    </row>
    <row r="239" spans="2:7" x14ac:dyDescent="0.3">
      <c r="B239" s="109"/>
      <c r="C239" s="49"/>
      <c r="D239" s="306"/>
      <c r="E239" s="217">
        <f t="shared" si="4"/>
        <v>2020</v>
      </c>
      <c r="F239" s="330">
        <v>9.1290782036783397E-2</v>
      </c>
      <c r="G239" s="330">
        <v>9.1290782036783397E-2</v>
      </c>
    </row>
    <row r="240" spans="2:7" x14ac:dyDescent="0.3">
      <c r="B240" s="109"/>
      <c r="C240" s="49"/>
      <c r="D240" s="306"/>
      <c r="E240" s="217">
        <f t="shared" si="4"/>
        <v>2021</v>
      </c>
      <c r="F240" s="330">
        <v>8.650414396122369E-2</v>
      </c>
      <c r="G240" s="330">
        <v>8.650414396122369E-2</v>
      </c>
    </row>
    <row r="241" spans="2:7" x14ac:dyDescent="0.3">
      <c r="B241" s="109"/>
      <c r="C241" s="49"/>
      <c r="D241" s="306"/>
      <c r="E241" s="217">
        <f t="shared" si="4"/>
        <v>2022</v>
      </c>
      <c r="F241" s="330">
        <v>8.2211752534647103E-2</v>
      </c>
      <c r="G241" s="330">
        <v>8.2211752534647103E-2</v>
      </c>
    </row>
    <row r="242" spans="2:7" x14ac:dyDescent="0.3">
      <c r="B242" s="109"/>
      <c r="C242" s="49"/>
      <c r="D242" s="306"/>
      <c r="E242" s="217">
        <f t="shared" si="4"/>
        <v>2023</v>
      </c>
      <c r="F242" s="330">
        <v>7.3744286288893152E-2</v>
      </c>
      <c r="G242" s="330">
        <v>7.3744286288893152E-2</v>
      </c>
    </row>
    <row r="243" spans="2:7" x14ac:dyDescent="0.3">
      <c r="B243" s="109"/>
      <c r="C243" s="49"/>
      <c r="D243" s="306"/>
      <c r="E243" s="217">
        <f t="shared" si="4"/>
        <v>2024</v>
      </c>
      <c r="F243" s="330">
        <v>7.0370882922210193E-2</v>
      </c>
      <c r="G243" s="330">
        <v>7.0370882922210193E-2</v>
      </c>
    </row>
    <row r="244" spans="2:7" x14ac:dyDescent="0.3">
      <c r="B244" s="109"/>
      <c r="C244" s="49"/>
      <c r="D244" s="306"/>
      <c r="E244" s="217">
        <f t="shared" si="4"/>
        <v>2025</v>
      </c>
      <c r="F244" s="330">
        <v>6.9694096025643817E-2</v>
      </c>
      <c r="G244" s="330">
        <v>6.9694096025643817E-2</v>
      </c>
    </row>
    <row r="245" spans="2:7" x14ac:dyDescent="0.3">
      <c r="B245" s="109"/>
      <c r="C245" s="49"/>
      <c r="D245" s="306"/>
      <c r="E245" s="217">
        <f t="shared" si="4"/>
        <v>2026</v>
      </c>
      <c r="F245" s="330">
        <v>6.9298877197779218E-2</v>
      </c>
      <c r="G245" s="330">
        <v>6.9298877197779218E-2</v>
      </c>
    </row>
    <row r="246" spans="2:7" x14ac:dyDescent="0.3">
      <c r="B246" s="109"/>
      <c r="C246" s="49"/>
      <c r="D246" s="306"/>
      <c r="E246" s="217">
        <f t="shared" si="4"/>
        <v>2027</v>
      </c>
      <c r="F246" s="330">
        <v>6.8825991289816479E-2</v>
      </c>
      <c r="G246" s="330">
        <v>6.8825991289816479E-2</v>
      </c>
    </row>
    <row r="247" spans="2:7" x14ac:dyDescent="0.3">
      <c r="B247" s="109"/>
      <c r="C247" s="49"/>
      <c r="D247" s="306"/>
      <c r="E247" s="217">
        <f t="shared" si="4"/>
        <v>2028</v>
      </c>
      <c r="F247" s="330">
        <v>6.8305993676327642E-2</v>
      </c>
      <c r="G247" s="330">
        <v>6.8305993676327642E-2</v>
      </c>
    </row>
    <row r="248" spans="2:7" x14ac:dyDescent="0.3">
      <c r="B248" s="109"/>
      <c r="C248" s="49"/>
      <c r="D248" s="306"/>
      <c r="E248" s="217">
        <f t="shared" si="4"/>
        <v>2029</v>
      </c>
      <c r="F248" s="330">
        <v>6.7701829216490622E-2</v>
      </c>
      <c r="G248" s="330">
        <v>6.7701829216490622E-2</v>
      </c>
    </row>
    <row r="249" spans="2:7" x14ac:dyDescent="0.3">
      <c r="B249" s="109"/>
      <c r="C249" s="49"/>
      <c r="D249" s="308"/>
      <c r="E249" s="217">
        <f t="shared" si="4"/>
        <v>2030</v>
      </c>
      <c r="F249" s="330">
        <v>6.7666450844228662E-2</v>
      </c>
      <c r="G249" s="330">
        <v>6.7666450844228662E-2</v>
      </c>
    </row>
    <row r="250" spans="2:7" x14ac:dyDescent="0.3">
      <c r="B250" s="109"/>
      <c r="C250" s="49"/>
      <c r="D250" s="308"/>
      <c r="E250" s="217">
        <f t="shared" si="4"/>
        <v>2031</v>
      </c>
      <c r="F250" s="330">
        <v>6.7557944511434667E-2</v>
      </c>
      <c r="G250" s="330">
        <v>6.7557944511434667E-2</v>
      </c>
    </row>
    <row r="251" spans="2:7" x14ac:dyDescent="0.3">
      <c r="B251" s="109"/>
      <c r="C251" s="49"/>
      <c r="D251" s="308"/>
      <c r="E251" s="217">
        <f t="shared" si="4"/>
        <v>2032</v>
      </c>
      <c r="F251" s="330">
        <v>6.7099444506507122E-2</v>
      </c>
      <c r="G251" s="330">
        <v>6.7099444506507122E-2</v>
      </c>
    </row>
    <row r="252" spans="2:7" x14ac:dyDescent="0.3">
      <c r="B252" s="109"/>
      <c r="C252" s="49"/>
      <c r="D252" s="308"/>
      <c r="E252" s="217">
        <f t="shared" si="4"/>
        <v>2033</v>
      </c>
      <c r="F252" s="330">
        <v>6.6666503445446237E-2</v>
      </c>
      <c r="G252" s="330">
        <v>6.6666503445446237E-2</v>
      </c>
    </row>
    <row r="253" spans="2:7" x14ac:dyDescent="0.3">
      <c r="B253" s="109"/>
      <c r="C253" s="49"/>
      <c r="D253" s="308"/>
      <c r="E253" s="217">
        <f t="shared" si="4"/>
        <v>2034</v>
      </c>
      <c r="F253" s="330">
        <v>6.6595918325335346E-2</v>
      </c>
      <c r="G253" s="330">
        <v>6.6595918325335346E-2</v>
      </c>
    </row>
    <row r="254" spans="2:7" x14ac:dyDescent="0.3">
      <c r="B254" s="109"/>
      <c r="C254" s="49"/>
      <c r="D254" s="308"/>
      <c r="E254" s="217">
        <f t="shared" si="4"/>
        <v>2035</v>
      </c>
      <c r="F254" s="330">
        <v>6.6400159983924234E-2</v>
      </c>
      <c r="G254" s="330">
        <v>6.6400159983924234E-2</v>
      </c>
    </row>
    <row r="255" spans="2:7" x14ac:dyDescent="0.3">
      <c r="B255" s="109"/>
      <c r="C255" s="49"/>
      <c r="D255" s="308"/>
      <c r="E255" s="217">
        <f t="shared" si="4"/>
        <v>2036</v>
      </c>
      <c r="F255" s="330">
        <v>6.6769481351163354E-2</v>
      </c>
      <c r="G255" s="330">
        <v>6.6769481351163354E-2</v>
      </c>
    </row>
    <row r="256" spans="2:7" x14ac:dyDescent="0.3">
      <c r="B256" s="109"/>
      <c r="C256" s="49"/>
      <c r="D256" s="308"/>
      <c r="E256" s="217">
        <f t="shared" si="4"/>
        <v>2037</v>
      </c>
      <c r="F256" s="330">
        <v>6.6718768925602467E-2</v>
      </c>
      <c r="G256" s="330">
        <v>6.6718768925602467E-2</v>
      </c>
    </row>
    <row r="257" spans="2:7" x14ac:dyDescent="0.3">
      <c r="B257" s="109"/>
      <c r="C257" s="49"/>
      <c r="D257" s="308"/>
      <c r="E257" s="217">
        <f t="shared" si="4"/>
        <v>2038</v>
      </c>
      <c r="F257" s="330">
        <v>6.716848838824159E-2</v>
      </c>
      <c r="G257" s="330">
        <v>6.716848838824159E-2</v>
      </c>
    </row>
    <row r="258" spans="2:7" x14ac:dyDescent="0.3">
      <c r="B258" s="109"/>
      <c r="C258" s="49"/>
      <c r="D258" s="308"/>
      <c r="E258" s="217">
        <f t="shared" si="4"/>
        <v>2039</v>
      </c>
      <c r="F258" s="330">
        <v>6.7529859542380943E-2</v>
      </c>
      <c r="G258" s="330">
        <v>6.7529859542380943E-2</v>
      </c>
    </row>
    <row r="259" spans="2:7" x14ac:dyDescent="0.3">
      <c r="B259" s="109"/>
      <c r="C259" s="49"/>
      <c r="D259" s="308"/>
      <c r="E259" s="217">
        <f t="shared" si="4"/>
        <v>2040</v>
      </c>
      <c r="F259" s="330">
        <v>6.7432285679980941E-2</v>
      </c>
      <c r="G259" s="330">
        <v>6.7432285679980941E-2</v>
      </c>
    </row>
    <row r="260" spans="2:7" x14ac:dyDescent="0.3">
      <c r="B260" s="109"/>
      <c r="C260" s="49"/>
      <c r="D260" s="308"/>
      <c r="E260" s="217">
        <f t="shared" si="4"/>
        <v>2041</v>
      </c>
      <c r="F260" s="330">
        <v>6.7584224854580932E-2</v>
      </c>
      <c r="G260" s="330">
        <v>6.7584224854580932E-2</v>
      </c>
    </row>
    <row r="261" spans="2:7" x14ac:dyDescent="0.3">
      <c r="B261" s="109"/>
      <c r="C261" s="49"/>
      <c r="D261" s="308"/>
      <c r="E261" s="217">
        <f t="shared" si="4"/>
        <v>2042</v>
      </c>
      <c r="F261" s="330">
        <v>6.7855608346980956E-2</v>
      </c>
      <c r="G261" s="330">
        <v>6.7855608346980956E-2</v>
      </c>
    </row>
    <row r="262" spans="2:7" x14ac:dyDescent="0.3">
      <c r="B262" s="109"/>
      <c r="C262" s="49"/>
      <c r="D262" s="308"/>
      <c r="E262" s="217">
        <f t="shared" si="4"/>
        <v>2043</v>
      </c>
      <c r="F262" s="330">
        <v>6.7878301678280947E-2</v>
      </c>
      <c r="G262" s="330">
        <v>6.7878301678280947E-2</v>
      </c>
    </row>
    <row r="263" spans="2:7" x14ac:dyDescent="0.3">
      <c r="B263" s="109"/>
      <c r="C263" s="49"/>
      <c r="D263" s="308"/>
      <c r="E263" s="217">
        <f t="shared" si="4"/>
        <v>2044</v>
      </c>
      <c r="F263" s="330">
        <v>6.8053295148680942E-2</v>
      </c>
      <c r="G263" s="330">
        <v>6.8053295148680942E-2</v>
      </c>
    </row>
    <row r="264" spans="2:7" x14ac:dyDescent="0.3">
      <c r="B264" s="109"/>
      <c r="C264" s="49"/>
      <c r="D264" s="308"/>
      <c r="E264" s="217">
        <f t="shared" si="4"/>
        <v>2045</v>
      </c>
      <c r="F264" s="330">
        <v>6.8130690559480955E-2</v>
      </c>
      <c r="G264" s="330">
        <v>6.8130690559480955E-2</v>
      </c>
    </row>
    <row r="265" spans="2:7" x14ac:dyDescent="0.3">
      <c r="B265" s="109"/>
      <c r="C265" s="49"/>
      <c r="D265" s="308"/>
      <c r="E265" s="217">
        <f t="shared" si="4"/>
        <v>2046</v>
      </c>
      <c r="F265" s="330">
        <v>6.8164212583980949E-2</v>
      </c>
      <c r="G265" s="330">
        <v>6.8164212583980949E-2</v>
      </c>
    </row>
    <row r="266" spans="2:7" x14ac:dyDescent="0.3">
      <c r="B266" s="109"/>
      <c r="C266" s="49"/>
      <c r="D266" s="308"/>
      <c r="E266" s="217">
        <f t="shared" si="4"/>
        <v>2047</v>
      </c>
      <c r="F266" s="330">
        <v>6.8198260191980942E-2</v>
      </c>
      <c r="G266" s="330">
        <v>6.8198260191980942E-2</v>
      </c>
    </row>
    <row r="267" spans="2:7" x14ac:dyDescent="0.3">
      <c r="B267" s="109"/>
      <c r="C267" s="49"/>
      <c r="D267" s="308"/>
      <c r="E267" s="217">
        <f t="shared" si="4"/>
        <v>2048</v>
      </c>
      <c r="F267" s="330">
        <v>6.8061513571680943E-2</v>
      </c>
      <c r="G267" s="330">
        <v>6.8061513571680943E-2</v>
      </c>
    </row>
    <row r="268" spans="2:7" x14ac:dyDescent="0.3">
      <c r="B268" s="109"/>
      <c r="C268" s="49"/>
      <c r="D268" s="308"/>
      <c r="E268" s="217">
        <f t="shared" si="4"/>
        <v>2049</v>
      </c>
      <c r="F268" s="330">
        <v>6.7915280618580931E-2</v>
      </c>
      <c r="G268" s="330">
        <v>6.7915280618580931E-2</v>
      </c>
    </row>
    <row r="269" spans="2:7" x14ac:dyDescent="0.3">
      <c r="B269" s="108"/>
      <c r="C269" s="27"/>
      <c r="D269" s="313"/>
      <c r="E269" s="221">
        <f t="shared" si="4"/>
        <v>2050</v>
      </c>
      <c r="F269" s="366">
        <v>6.7915280618580931E-2</v>
      </c>
      <c r="G269" s="366">
        <v>6.7915280618580931E-2</v>
      </c>
    </row>
    <row r="270" spans="2:7" x14ac:dyDescent="0.3">
      <c r="C270" s="49"/>
      <c r="D270" s="49"/>
      <c r="E270" s="49"/>
      <c r="F270" s="29"/>
      <c r="G270" s="29"/>
    </row>
    <row r="271" spans="2:7" x14ac:dyDescent="0.3">
      <c r="B271" s="342" t="s">
        <v>162</v>
      </c>
      <c r="C271" s="363"/>
      <c r="D271" s="364"/>
      <c r="E271" s="204">
        <v>2016</v>
      </c>
      <c r="F271" s="367"/>
      <c r="G271" s="367"/>
    </row>
    <row r="272" spans="2:7" x14ac:dyDescent="0.3">
      <c r="B272" s="361" t="s">
        <v>154</v>
      </c>
      <c r="C272" s="351"/>
      <c r="D272" s="306"/>
      <c r="E272" s="217">
        <f t="shared" ref="E272:E305" si="5">E271+1</f>
        <v>2017</v>
      </c>
      <c r="F272" s="330"/>
      <c r="G272" s="330"/>
    </row>
    <row r="273" spans="2:7" x14ac:dyDescent="0.3">
      <c r="B273" s="109"/>
      <c r="C273" s="49"/>
      <c r="D273" s="306"/>
      <c r="E273" s="217">
        <f t="shared" si="5"/>
        <v>2018</v>
      </c>
      <c r="F273" s="330">
        <v>0.08</v>
      </c>
      <c r="G273" s="330">
        <v>0.08</v>
      </c>
    </row>
    <row r="274" spans="2:7" x14ac:dyDescent="0.3">
      <c r="B274" s="109"/>
      <c r="C274" s="49"/>
      <c r="D274" s="306"/>
      <c r="E274" s="217">
        <f t="shared" si="5"/>
        <v>2019</v>
      </c>
      <c r="F274" s="330">
        <v>4.6800000000000001E-2</v>
      </c>
      <c r="G274" s="330">
        <v>4.6800000000000001E-2</v>
      </c>
    </row>
    <row r="275" spans="2:7" x14ac:dyDescent="0.3">
      <c r="B275" s="109"/>
      <c r="C275" s="49"/>
      <c r="D275" s="306"/>
      <c r="E275" s="217">
        <f t="shared" si="5"/>
        <v>2020</v>
      </c>
      <c r="F275" s="330">
        <v>4.7270264557823349E-2</v>
      </c>
      <c r="G275" s="330">
        <v>4.7270264557823349E-2</v>
      </c>
    </row>
    <row r="276" spans="2:7" x14ac:dyDescent="0.3">
      <c r="B276" s="109"/>
      <c r="C276" s="49"/>
      <c r="D276" s="306"/>
      <c r="E276" s="217">
        <f t="shared" si="5"/>
        <v>2021</v>
      </c>
      <c r="F276" s="330">
        <v>4.7740529115646524E-2</v>
      </c>
      <c r="G276" s="330">
        <v>4.7740529115646524E-2</v>
      </c>
    </row>
    <row r="277" spans="2:7" x14ac:dyDescent="0.3">
      <c r="B277" s="109"/>
      <c r="C277" s="49"/>
      <c r="D277" s="306"/>
      <c r="E277" s="217">
        <f t="shared" si="5"/>
        <v>2022</v>
      </c>
      <c r="F277" s="330">
        <v>4.8210793673469921E-2</v>
      </c>
      <c r="G277" s="330">
        <v>4.8210793673469921E-2</v>
      </c>
    </row>
    <row r="278" spans="2:7" x14ac:dyDescent="0.3">
      <c r="B278" s="109"/>
      <c r="C278" s="49"/>
      <c r="D278" s="306"/>
      <c r="E278" s="217">
        <f t="shared" si="5"/>
        <v>2023</v>
      </c>
      <c r="F278" s="330">
        <v>4.8681058231293095E-2</v>
      </c>
      <c r="G278" s="330">
        <v>4.8681058231293095E-2</v>
      </c>
    </row>
    <row r="279" spans="2:7" x14ac:dyDescent="0.3">
      <c r="B279" s="109"/>
      <c r="C279" s="49"/>
      <c r="D279" s="306"/>
      <c r="E279" s="217">
        <f t="shared" si="5"/>
        <v>2024</v>
      </c>
      <c r="F279" s="330">
        <v>4.915132278911627E-2</v>
      </c>
      <c r="G279" s="330">
        <v>4.915132278911627E-2</v>
      </c>
    </row>
    <row r="280" spans="2:7" x14ac:dyDescent="0.3">
      <c r="B280" s="109"/>
      <c r="C280" s="49"/>
      <c r="D280" s="306"/>
      <c r="E280" s="217">
        <f t="shared" si="5"/>
        <v>2025</v>
      </c>
      <c r="F280" s="330">
        <v>4.9621587346939666E-2</v>
      </c>
      <c r="G280" s="330">
        <v>4.9621587346939666E-2</v>
      </c>
    </row>
    <row r="281" spans="2:7" x14ac:dyDescent="0.3">
      <c r="B281" s="109"/>
      <c r="C281" s="49"/>
      <c r="D281" s="306"/>
      <c r="E281" s="217">
        <f t="shared" si="5"/>
        <v>2026</v>
      </c>
      <c r="F281" s="330">
        <v>5.0091851904762841E-2</v>
      </c>
      <c r="G281" s="330">
        <v>5.0091851904762841E-2</v>
      </c>
    </row>
    <row r="282" spans="2:7" x14ac:dyDescent="0.3">
      <c r="B282" s="109"/>
      <c r="C282" s="49"/>
      <c r="D282" s="306"/>
      <c r="E282" s="217">
        <f t="shared" si="5"/>
        <v>2027</v>
      </c>
      <c r="F282" s="330">
        <v>5.0562116462585793E-2</v>
      </c>
      <c r="G282" s="330">
        <v>5.0562116462585793E-2</v>
      </c>
    </row>
    <row r="283" spans="2:7" x14ac:dyDescent="0.3">
      <c r="B283" s="109"/>
      <c r="C283" s="49"/>
      <c r="D283" s="306"/>
      <c r="E283" s="217">
        <f t="shared" si="5"/>
        <v>2028</v>
      </c>
      <c r="F283" s="330">
        <v>5.103238102040919E-2</v>
      </c>
      <c r="G283" s="330">
        <v>5.103238102040919E-2</v>
      </c>
    </row>
    <row r="284" spans="2:7" x14ac:dyDescent="0.3">
      <c r="B284" s="109"/>
      <c r="C284" s="49"/>
      <c r="D284" s="306"/>
      <c r="E284" s="217">
        <f t="shared" si="5"/>
        <v>2029</v>
      </c>
      <c r="F284" s="330">
        <v>5.1502645578232364E-2</v>
      </c>
      <c r="G284" s="330">
        <v>5.1502645578232364E-2</v>
      </c>
    </row>
    <row r="285" spans="2:7" x14ac:dyDescent="0.3">
      <c r="B285" s="109"/>
      <c r="C285" s="49"/>
      <c r="D285" s="308"/>
      <c r="E285" s="217">
        <f t="shared" si="5"/>
        <v>2030</v>
      </c>
      <c r="F285" s="330">
        <v>5.1819647562471483E-2</v>
      </c>
      <c r="G285" s="330">
        <v>5.1819647562471483E-2</v>
      </c>
    </row>
    <row r="286" spans="2:7" x14ac:dyDescent="0.3">
      <c r="B286" s="109"/>
      <c r="C286" s="49"/>
      <c r="D286" s="308"/>
      <c r="E286" s="217">
        <f t="shared" si="5"/>
        <v>2031</v>
      </c>
      <c r="F286" s="330">
        <v>5.2136649546710823E-2</v>
      </c>
      <c r="G286" s="330">
        <v>5.2136649546710823E-2</v>
      </c>
    </row>
    <row r="287" spans="2:7" x14ac:dyDescent="0.3">
      <c r="B287" s="109"/>
      <c r="C287" s="49"/>
      <c r="D287" s="308"/>
      <c r="E287" s="217">
        <f t="shared" si="5"/>
        <v>2032</v>
      </c>
      <c r="F287" s="330">
        <v>5.2453651530949941E-2</v>
      </c>
      <c r="G287" s="330">
        <v>5.2453651530949941E-2</v>
      </c>
    </row>
    <row r="288" spans="2:7" x14ac:dyDescent="0.3">
      <c r="B288" s="109"/>
      <c r="C288" s="49"/>
      <c r="D288" s="308"/>
      <c r="E288" s="217">
        <f t="shared" si="5"/>
        <v>2033</v>
      </c>
      <c r="F288" s="330">
        <v>5.2770653515189059E-2</v>
      </c>
      <c r="G288" s="330">
        <v>5.2770653515189059E-2</v>
      </c>
    </row>
    <row r="289" spans="2:7" x14ac:dyDescent="0.3">
      <c r="B289" s="109"/>
      <c r="C289" s="49"/>
      <c r="D289" s="308"/>
      <c r="E289" s="217">
        <f t="shared" si="5"/>
        <v>2034</v>
      </c>
      <c r="F289" s="330">
        <v>5.3087655499428177E-2</v>
      </c>
      <c r="G289" s="330">
        <v>5.3087655499428177E-2</v>
      </c>
    </row>
    <row r="290" spans="2:7" x14ac:dyDescent="0.3">
      <c r="B290" s="109"/>
      <c r="C290" s="49"/>
      <c r="D290" s="308"/>
      <c r="E290" s="217">
        <f t="shared" si="5"/>
        <v>2035</v>
      </c>
      <c r="F290" s="330">
        <v>5.3404657483667073E-2</v>
      </c>
      <c r="G290" s="330">
        <v>5.3404657483667073E-2</v>
      </c>
    </row>
    <row r="291" spans="2:7" x14ac:dyDescent="0.3">
      <c r="B291" s="109"/>
      <c r="C291" s="49"/>
      <c r="D291" s="308"/>
      <c r="E291" s="217">
        <f t="shared" si="5"/>
        <v>2036</v>
      </c>
      <c r="F291" s="330">
        <v>5.3721659467906191E-2</v>
      </c>
      <c r="G291" s="330">
        <v>5.3721659467906191E-2</v>
      </c>
    </row>
    <row r="292" spans="2:7" x14ac:dyDescent="0.3">
      <c r="B292" s="109"/>
      <c r="C292" s="49"/>
      <c r="D292" s="308"/>
      <c r="E292" s="217">
        <f t="shared" si="5"/>
        <v>2037</v>
      </c>
      <c r="F292" s="330">
        <v>5.4038661452145309E-2</v>
      </c>
      <c r="G292" s="330">
        <v>5.4038661452145309E-2</v>
      </c>
    </row>
    <row r="293" spans="2:7" x14ac:dyDescent="0.3">
      <c r="B293" s="109"/>
      <c r="C293" s="49"/>
      <c r="D293" s="308"/>
      <c r="E293" s="217">
        <f t="shared" si="5"/>
        <v>2038</v>
      </c>
      <c r="F293" s="330">
        <v>5.4355663436384427E-2</v>
      </c>
      <c r="G293" s="330">
        <v>5.4355663436384427E-2</v>
      </c>
    </row>
    <row r="294" spans="2:7" x14ac:dyDescent="0.3">
      <c r="B294" s="109"/>
      <c r="C294" s="49"/>
      <c r="D294" s="308"/>
      <c r="E294" s="217">
        <f t="shared" si="5"/>
        <v>2039</v>
      </c>
      <c r="F294" s="330">
        <v>5.4672665420623767E-2</v>
      </c>
      <c r="G294" s="330">
        <v>5.4672665420623767E-2</v>
      </c>
    </row>
    <row r="295" spans="2:7" x14ac:dyDescent="0.3">
      <c r="B295" s="109"/>
      <c r="C295" s="49"/>
      <c r="D295" s="308"/>
      <c r="E295" s="217">
        <f t="shared" si="5"/>
        <v>2040</v>
      </c>
      <c r="F295" s="330">
        <v>5.4672665420623767E-2</v>
      </c>
      <c r="G295" s="330">
        <v>5.4672665420623767E-2</v>
      </c>
    </row>
    <row r="296" spans="2:7" x14ac:dyDescent="0.3">
      <c r="B296" s="109"/>
      <c r="C296" s="49"/>
      <c r="D296" s="308"/>
      <c r="E296" s="217">
        <f t="shared" si="5"/>
        <v>2041</v>
      </c>
      <c r="F296" s="330">
        <v>5.4672665420623767E-2</v>
      </c>
      <c r="G296" s="330">
        <v>5.4672665420623767E-2</v>
      </c>
    </row>
    <row r="297" spans="2:7" x14ac:dyDescent="0.3">
      <c r="B297" s="109"/>
      <c r="C297" s="49"/>
      <c r="D297" s="308"/>
      <c r="E297" s="217">
        <f t="shared" si="5"/>
        <v>2042</v>
      </c>
      <c r="F297" s="330">
        <v>5.4672665420623767E-2</v>
      </c>
      <c r="G297" s="330">
        <v>5.4672665420623767E-2</v>
      </c>
    </row>
    <row r="298" spans="2:7" x14ac:dyDescent="0.3">
      <c r="B298" s="109"/>
      <c r="C298" s="49"/>
      <c r="D298" s="308"/>
      <c r="E298" s="217">
        <f t="shared" si="5"/>
        <v>2043</v>
      </c>
      <c r="F298" s="330">
        <v>5.4672665420623767E-2</v>
      </c>
      <c r="G298" s="330">
        <v>5.4672665420623767E-2</v>
      </c>
    </row>
    <row r="299" spans="2:7" x14ac:dyDescent="0.3">
      <c r="B299" s="109"/>
      <c r="C299" s="49"/>
      <c r="D299" s="308"/>
      <c r="E299" s="217">
        <f t="shared" si="5"/>
        <v>2044</v>
      </c>
      <c r="F299" s="330">
        <v>5.4672665420623767E-2</v>
      </c>
      <c r="G299" s="330">
        <v>5.4672665420623767E-2</v>
      </c>
    </row>
    <row r="300" spans="2:7" x14ac:dyDescent="0.3">
      <c r="B300" s="109"/>
      <c r="C300" s="49"/>
      <c r="D300" s="308"/>
      <c r="E300" s="217">
        <f t="shared" si="5"/>
        <v>2045</v>
      </c>
      <c r="F300" s="330">
        <v>5.4672665420623767E-2</v>
      </c>
      <c r="G300" s="330">
        <v>5.4672665420623767E-2</v>
      </c>
    </row>
    <row r="301" spans="2:7" x14ac:dyDescent="0.3">
      <c r="B301" s="109"/>
      <c r="C301" s="49"/>
      <c r="D301" s="308"/>
      <c r="E301" s="217">
        <f t="shared" si="5"/>
        <v>2046</v>
      </c>
      <c r="F301" s="330">
        <v>5.4672665420623767E-2</v>
      </c>
      <c r="G301" s="330">
        <v>5.4672665420623767E-2</v>
      </c>
    </row>
    <row r="302" spans="2:7" x14ac:dyDescent="0.3">
      <c r="B302" s="109"/>
      <c r="C302" s="49"/>
      <c r="D302" s="308"/>
      <c r="E302" s="217">
        <f t="shared" si="5"/>
        <v>2047</v>
      </c>
      <c r="F302" s="330">
        <v>5.4672665420623767E-2</v>
      </c>
      <c r="G302" s="330">
        <v>5.4672665420623767E-2</v>
      </c>
    </row>
    <row r="303" spans="2:7" x14ac:dyDescent="0.3">
      <c r="B303" s="109"/>
      <c r="C303" s="49"/>
      <c r="D303" s="308"/>
      <c r="E303" s="217">
        <f t="shared" si="5"/>
        <v>2048</v>
      </c>
      <c r="F303" s="330">
        <v>5.4672665420623767E-2</v>
      </c>
      <c r="G303" s="330">
        <v>5.4672665420623767E-2</v>
      </c>
    </row>
    <row r="304" spans="2:7" x14ac:dyDescent="0.3">
      <c r="B304" s="109"/>
      <c r="C304" s="49"/>
      <c r="D304" s="308"/>
      <c r="E304" s="217">
        <f t="shared" si="5"/>
        <v>2049</v>
      </c>
      <c r="F304" s="330">
        <v>5.4672665420623767E-2</v>
      </c>
      <c r="G304" s="330">
        <v>5.4672665420623767E-2</v>
      </c>
    </row>
    <row r="305" spans="2:7" x14ac:dyDescent="0.3">
      <c r="B305" s="108"/>
      <c r="C305" s="27"/>
      <c r="D305" s="313"/>
      <c r="E305" s="221">
        <f t="shared" si="5"/>
        <v>2050</v>
      </c>
      <c r="F305" s="366">
        <v>5.4672665420623767E-2</v>
      </c>
      <c r="G305" s="366">
        <v>5.4672665420623767E-2</v>
      </c>
    </row>
    <row r="306" spans="2:7" x14ac:dyDescent="0.3">
      <c r="C306" s="49"/>
      <c r="D306" s="368"/>
      <c r="F306" s="29"/>
      <c r="G306" s="29"/>
    </row>
    <row r="307" spans="2:7" x14ac:dyDescent="0.3">
      <c r="B307" s="342" t="s">
        <v>163</v>
      </c>
      <c r="C307" s="363"/>
      <c r="D307" s="364"/>
      <c r="E307" s="204">
        <v>2016</v>
      </c>
      <c r="F307" s="367"/>
      <c r="G307" s="367"/>
    </row>
    <row r="308" spans="2:7" x14ac:dyDescent="0.3">
      <c r="B308" s="361" t="s">
        <v>154</v>
      </c>
      <c r="C308" s="351"/>
      <c r="D308" s="306"/>
      <c r="E308" s="217">
        <f t="shared" ref="E308:E341" si="6">E307+1</f>
        <v>2017</v>
      </c>
      <c r="F308" s="330"/>
      <c r="G308" s="330"/>
    </row>
    <row r="309" spans="2:7" x14ac:dyDescent="0.3">
      <c r="B309" s="109"/>
      <c r="C309" s="49"/>
      <c r="D309" s="306"/>
      <c r="E309" s="217">
        <f t="shared" si="6"/>
        <v>2018</v>
      </c>
      <c r="F309" s="330">
        <v>0.2</v>
      </c>
      <c r="G309" s="330">
        <v>0.2</v>
      </c>
    </row>
    <row r="310" spans="2:7" x14ac:dyDescent="0.3">
      <c r="B310" s="109"/>
      <c r="C310" s="49"/>
      <c r="D310" s="306"/>
      <c r="E310" s="217">
        <f t="shared" si="6"/>
        <v>2019</v>
      </c>
      <c r="F310" s="330">
        <v>0.2</v>
      </c>
      <c r="G310" s="330">
        <v>0.2</v>
      </c>
    </row>
    <row r="311" spans="2:7" x14ac:dyDescent="0.3">
      <c r="B311" s="109"/>
      <c r="C311" s="49"/>
      <c r="D311" s="306"/>
      <c r="E311" s="217">
        <f t="shared" si="6"/>
        <v>2020</v>
      </c>
      <c r="F311" s="330">
        <v>0.2</v>
      </c>
      <c r="G311" s="330">
        <v>0.2</v>
      </c>
    </row>
    <row r="312" spans="2:7" x14ac:dyDescent="0.3">
      <c r="B312" s="109"/>
      <c r="C312" s="49"/>
      <c r="D312" s="306"/>
      <c r="E312" s="217">
        <f t="shared" si="6"/>
        <v>2021</v>
      </c>
      <c r="F312" s="330">
        <v>0.2</v>
      </c>
      <c r="G312" s="330">
        <v>0.2</v>
      </c>
    </row>
    <row r="313" spans="2:7" x14ac:dyDescent="0.3">
      <c r="B313" s="109"/>
      <c r="C313" s="49"/>
      <c r="D313" s="306"/>
      <c r="E313" s="217">
        <f t="shared" si="6"/>
        <v>2022</v>
      </c>
      <c r="F313" s="330">
        <v>0.25</v>
      </c>
      <c r="G313" s="330">
        <v>0.25</v>
      </c>
    </row>
    <row r="314" spans="2:7" x14ac:dyDescent="0.3">
      <c r="B314" s="109"/>
      <c r="C314" s="49"/>
      <c r="D314" s="306"/>
      <c r="E314" s="217">
        <f t="shared" si="6"/>
        <v>2023</v>
      </c>
      <c r="F314" s="330">
        <v>0.3</v>
      </c>
      <c r="G314" s="330">
        <v>0.3</v>
      </c>
    </row>
    <row r="315" spans="2:7" x14ac:dyDescent="0.3">
      <c r="B315" s="109"/>
      <c r="C315" s="49"/>
      <c r="D315" s="306"/>
      <c r="E315" s="217">
        <f t="shared" si="6"/>
        <v>2024</v>
      </c>
      <c r="F315" s="330">
        <v>0.35</v>
      </c>
      <c r="G315" s="330">
        <v>0.35</v>
      </c>
    </row>
    <row r="316" spans="2:7" x14ac:dyDescent="0.3">
      <c r="B316" s="109"/>
      <c r="C316" s="49"/>
      <c r="D316" s="306"/>
      <c r="E316" s="217">
        <f t="shared" si="6"/>
        <v>2025</v>
      </c>
      <c r="F316" s="330">
        <v>0.39999999999999997</v>
      </c>
      <c r="G316" s="330">
        <v>0.39999999999999997</v>
      </c>
    </row>
    <row r="317" spans="2:7" x14ac:dyDescent="0.3">
      <c r="B317" s="109"/>
      <c r="C317" s="49"/>
      <c r="D317" s="306"/>
      <c r="E317" s="217">
        <f t="shared" si="6"/>
        <v>2026</v>
      </c>
      <c r="F317" s="330">
        <v>0.44999999999999996</v>
      </c>
      <c r="G317" s="330">
        <v>0.44999999999999996</v>
      </c>
    </row>
    <row r="318" spans="2:7" x14ac:dyDescent="0.3">
      <c r="B318" s="109"/>
      <c r="C318" s="49"/>
      <c r="D318" s="306"/>
      <c r="E318" s="217">
        <f t="shared" si="6"/>
        <v>2027</v>
      </c>
      <c r="F318" s="330">
        <v>0.49999999999999994</v>
      </c>
      <c r="G318" s="330">
        <v>0.49999999999999994</v>
      </c>
    </row>
    <row r="319" spans="2:7" x14ac:dyDescent="0.3">
      <c r="B319" s="109"/>
      <c r="C319" s="49"/>
      <c r="D319" s="306"/>
      <c r="E319" s="217">
        <f t="shared" si="6"/>
        <v>2028</v>
      </c>
      <c r="F319" s="330">
        <v>0.54999999999999993</v>
      </c>
      <c r="G319" s="330">
        <v>0.54999999999999993</v>
      </c>
    </row>
    <row r="320" spans="2:7" x14ac:dyDescent="0.3">
      <c r="B320" s="109"/>
      <c r="C320" s="49"/>
      <c r="D320" s="306"/>
      <c r="E320" s="217">
        <f t="shared" si="6"/>
        <v>2029</v>
      </c>
      <c r="F320" s="330">
        <v>0.6</v>
      </c>
      <c r="G320" s="330">
        <v>0.6</v>
      </c>
    </row>
    <row r="321" spans="2:7" x14ac:dyDescent="0.3">
      <c r="B321" s="109"/>
      <c r="C321" s="49"/>
      <c r="D321" s="308"/>
      <c r="E321" s="217">
        <f t="shared" si="6"/>
        <v>2030</v>
      </c>
      <c r="F321" s="330">
        <v>0.6499999999999998</v>
      </c>
      <c r="G321" s="330">
        <v>0.6499999999999998</v>
      </c>
    </row>
    <row r="322" spans="2:7" x14ac:dyDescent="0.3">
      <c r="B322" s="109"/>
      <c r="C322" s="49"/>
      <c r="D322" s="308"/>
      <c r="E322" s="217">
        <f t="shared" si="6"/>
        <v>2031</v>
      </c>
      <c r="F322" s="330">
        <v>0.6499999999999998</v>
      </c>
      <c r="G322" s="330">
        <v>0.6499999999999998</v>
      </c>
    </row>
    <row r="323" spans="2:7" x14ac:dyDescent="0.3">
      <c r="B323" s="109"/>
      <c r="C323" s="49"/>
      <c r="D323" s="308"/>
      <c r="E323" s="217">
        <f t="shared" si="6"/>
        <v>2032</v>
      </c>
      <c r="F323" s="330">
        <v>0.6499999999999998</v>
      </c>
      <c r="G323" s="330">
        <v>0.6499999999999998</v>
      </c>
    </row>
    <row r="324" spans="2:7" x14ac:dyDescent="0.3">
      <c r="B324" s="109"/>
      <c r="C324" s="49"/>
      <c r="D324" s="308"/>
      <c r="E324" s="217">
        <f t="shared" si="6"/>
        <v>2033</v>
      </c>
      <c r="F324" s="330">
        <v>0.6499999999999998</v>
      </c>
      <c r="G324" s="330">
        <v>0.6499999999999998</v>
      </c>
    </row>
    <row r="325" spans="2:7" x14ac:dyDescent="0.3">
      <c r="B325" s="109"/>
      <c r="C325" s="49"/>
      <c r="D325" s="308"/>
      <c r="E325" s="217">
        <f t="shared" si="6"/>
        <v>2034</v>
      </c>
      <c r="F325" s="330">
        <v>0.6499999999999998</v>
      </c>
      <c r="G325" s="330">
        <v>0.6499999999999998</v>
      </c>
    </row>
    <row r="326" spans="2:7" x14ac:dyDescent="0.3">
      <c r="B326" s="109"/>
      <c r="C326" s="49"/>
      <c r="D326" s="308"/>
      <c r="E326" s="217">
        <f t="shared" si="6"/>
        <v>2035</v>
      </c>
      <c r="F326" s="330">
        <v>0.6499999999999998</v>
      </c>
      <c r="G326" s="330">
        <v>0.6499999999999998</v>
      </c>
    </row>
    <row r="327" spans="2:7" x14ac:dyDescent="0.3">
      <c r="B327" s="109"/>
      <c r="C327" s="49"/>
      <c r="D327" s="308"/>
      <c r="E327" s="217">
        <f t="shared" si="6"/>
        <v>2036</v>
      </c>
      <c r="F327" s="330">
        <v>0.6499999999999998</v>
      </c>
      <c r="G327" s="330">
        <v>0.6499999999999998</v>
      </c>
    </row>
    <row r="328" spans="2:7" x14ac:dyDescent="0.3">
      <c r="B328" s="109"/>
      <c r="C328" s="49"/>
      <c r="D328" s="308"/>
      <c r="E328" s="217">
        <f t="shared" si="6"/>
        <v>2037</v>
      </c>
      <c r="F328" s="330">
        <v>0.6499999999999998</v>
      </c>
      <c r="G328" s="330">
        <v>0.6499999999999998</v>
      </c>
    </row>
    <row r="329" spans="2:7" x14ac:dyDescent="0.3">
      <c r="B329" s="109"/>
      <c r="C329" s="49"/>
      <c r="D329" s="308"/>
      <c r="E329" s="217">
        <f t="shared" si="6"/>
        <v>2038</v>
      </c>
      <c r="F329" s="330">
        <v>0.6499999999999998</v>
      </c>
      <c r="G329" s="330">
        <v>0.6499999999999998</v>
      </c>
    </row>
    <row r="330" spans="2:7" x14ac:dyDescent="0.3">
      <c r="B330" s="109"/>
      <c r="C330" s="49"/>
      <c r="D330" s="308"/>
      <c r="E330" s="217">
        <f t="shared" si="6"/>
        <v>2039</v>
      </c>
      <c r="F330" s="330">
        <v>0.6499999999999998</v>
      </c>
      <c r="G330" s="330">
        <v>0.6499999999999998</v>
      </c>
    </row>
    <row r="331" spans="2:7" x14ac:dyDescent="0.3">
      <c r="B331" s="109"/>
      <c r="C331" s="49"/>
      <c r="D331" s="308"/>
      <c r="E331" s="217">
        <f t="shared" si="6"/>
        <v>2040</v>
      </c>
      <c r="F331" s="330">
        <v>0.6499999999999998</v>
      </c>
      <c r="G331" s="330">
        <v>0.6499999999999998</v>
      </c>
    </row>
    <row r="332" spans="2:7" x14ac:dyDescent="0.3">
      <c r="B332" s="109"/>
      <c r="C332" s="49"/>
      <c r="D332" s="308"/>
      <c r="E332" s="217">
        <f t="shared" si="6"/>
        <v>2041</v>
      </c>
      <c r="F332" s="330">
        <v>0.6499999999999998</v>
      </c>
      <c r="G332" s="330">
        <v>0.6499999999999998</v>
      </c>
    </row>
    <row r="333" spans="2:7" x14ac:dyDescent="0.3">
      <c r="B333" s="109"/>
      <c r="C333" s="49"/>
      <c r="D333" s="308"/>
      <c r="E333" s="217">
        <f t="shared" si="6"/>
        <v>2042</v>
      </c>
      <c r="F333" s="330">
        <v>0.6499999999999998</v>
      </c>
      <c r="G333" s="330">
        <v>0.6499999999999998</v>
      </c>
    </row>
    <row r="334" spans="2:7" x14ac:dyDescent="0.3">
      <c r="B334" s="109"/>
      <c r="C334" s="49"/>
      <c r="D334" s="308"/>
      <c r="E334" s="217">
        <f t="shared" si="6"/>
        <v>2043</v>
      </c>
      <c r="F334" s="330">
        <v>0.6499999999999998</v>
      </c>
      <c r="G334" s="330">
        <v>0.6499999999999998</v>
      </c>
    </row>
    <row r="335" spans="2:7" x14ac:dyDescent="0.3">
      <c r="B335" s="109"/>
      <c r="C335" s="49"/>
      <c r="D335" s="308"/>
      <c r="E335" s="217">
        <f t="shared" si="6"/>
        <v>2044</v>
      </c>
      <c r="F335" s="330">
        <v>0.6499999999999998</v>
      </c>
      <c r="G335" s="330">
        <v>0.6499999999999998</v>
      </c>
    </row>
    <row r="336" spans="2:7" x14ac:dyDescent="0.3">
      <c r="B336" s="109"/>
      <c r="C336" s="49"/>
      <c r="D336" s="308"/>
      <c r="E336" s="217">
        <f t="shared" si="6"/>
        <v>2045</v>
      </c>
      <c r="F336" s="330">
        <v>0.6499999999999998</v>
      </c>
      <c r="G336" s="330">
        <v>0.6499999999999998</v>
      </c>
    </row>
    <row r="337" spans="2:7" x14ac:dyDescent="0.3">
      <c r="B337" s="109"/>
      <c r="C337" s="49"/>
      <c r="D337" s="308"/>
      <c r="E337" s="217">
        <f t="shared" si="6"/>
        <v>2046</v>
      </c>
      <c r="F337" s="330">
        <v>0.6499999999999998</v>
      </c>
      <c r="G337" s="330">
        <v>0.6499999999999998</v>
      </c>
    </row>
    <row r="338" spans="2:7" x14ac:dyDescent="0.3">
      <c r="B338" s="109"/>
      <c r="C338" s="49"/>
      <c r="D338" s="308"/>
      <c r="E338" s="217">
        <f t="shared" si="6"/>
        <v>2047</v>
      </c>
      <c r="F338" s="330">
        <v>0.6499999999999998</v>
      </c>
      <c r="G338" s="330">
        <v>0.6499999999999998</v>
      </c>
    </row>
    <row r="339" spans="2:7" x14ac:dyDescent="0.3">
      <c r="B339" s="109"/>
      <c r="C339" s="49"/>
      <c r="D339" s="308"/>
      <c r="E339" s="217">
        <f t="shared" si="6"/>
        <v>2048</v>
      </c>
      <c r="F339" s="330">
        <v>0.6499999999999998</v>
      </c>
      <c r="G339" s="330">
        <v>0.6499999999999998</v>
      </c>
    </row>
    <row r="340" spans="2:7" x14ac:dyDescent="0.3">
      <c r="B340" s="109"/>
      <c r="C340" s="49"/>
      <c r="D340" s="308"/>
      <c r="E340" s="217">
        <f t="shared" si="6"/>
        <v>2049</v>
      </c>
      <c r="F340" s="330">
        <v>0.6499999999999998</v>
      </c>
      <c r="G340" s="330">
        <v>0.6499999999999998</v>
      </c>
    </row>
    <row r="341" spans="2:7" x14ac:dyDescent="0.3">
      <c r="B341" s="108"/>
      <c r="C341" s="27"/>
      <c r="D341" s="313"/>
      <c r="E341" s="221">
        <f t="shared" si="6"/>
        <v>2050</v>
      </c>
      <c r="F341" s="366">
        <v>0.6499999999999998</v>
      </c>
      <c r="G341" s="366">
        <v>0.6499999999999998</v>
      </c>
    </row>
  </sheetData>
  <conditionalFormatting sqref="F52">
    <cfRule type="expression" dxfId="1" priority="3">
      <formula>F52="n/a"</formula>
    </cfRule>
  </conditionalFormatting>
  <conditionalFormatting sqref="G52">
    <cfRule type="expression" dxfId="0" priority="1">
      <formula>G52="n/a"</formula>
    </cfRule>
  </conditionalFormatting>
  <dataValidations count="1">
    <dataValidation type="list" allowBlank="1" showInputMessage="1" showErrorMessage="1" sqref="B6" xr:uid="{D330E48F-E69F-4049-805D-9910CDD92BBE}">
      <formula1>$E$91:$E$125</formula1>
    </dataValidation>
  </dataValidations>
  <pageMargins left="0.75" right="0.75" top="1" bottom="1" header="0.5" footer="0.5"/>
  <pageSetup scale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AFE5-C77F-48C5-82C6-A48D7FA2401A}">
  <sheetPr>
    <tabColor theme="5"/>
    <pageSetUpPr fitToPage="1"/>
  </sheetPr>
  <dimension ref="A1:AS201"/>
  <sheetViews>
    <sheetView workbookViewId="0"/>
  </sheetViews>
  <sheetFormatPr defaultColWidth="9.33203125" defaultRowHeight="14.4" x14ac:dyDescent="0.3"/>
  <cols>
    <col min="1" max="1" width="13.44140625" style="19" customWidth="1"/>
    <col min="2" max="2" width="49" style="19" bestFit="1" customWidth="1"/>
    <col min="3" max="3" width="15.6640625" style="19" bestFit="1" customWidth="1"/>
    <col min="4" max="4" width="15" style="19" bestFit="1" customWidth="1"/>
    <col min="5" max="5" width="45.44140625" style="19" customWidth="1"/>
    <col min="6" max="7" width="15.44140625" style="19" customWidth="1"/>
    <col min="8" max="8" width="15.6640625" style="19" customWidth="1"/>
    <col min="9" max="9" width="15" style="19" customWidth="1"/>
    <col min="10" max="10" width="27" style="19" customWidth="1"/>
    <col min="11" max="11" width="15" style="19" customWidth="1"/>
    <col min="12" max="13" width="15.44140625" style="19" customWidth="1"/>
    <col min="14" max="14" width="34.44140625" style="19" bestFit="1" customWidth="1"/>
    <col min="15" max="15" width="15.44140625" style="19" bestFit="1" customWidth="1"/>
    <col min="16" max="16" width="24.44140625" style="19" bestFit="1" customWidth="1"/>
    <col min="17" max="18" width="15.44140625" style="19" bestFit="1" customWidth="1"/>
    <col min="19" max="19" width="14.44140625" style="19" customWidth="1"/>
    <col min="20" max="20" width="45.6640625" style="19" bestFit="1" customWidth="1"/>
    <col min="21" max="21" width="12.33203125" style="19" customWidth="1"/>
    <col min="22" max="22" width="15.44140625" style="19" bestFit="1" customWidth="1"/>
    <col min="23" max="23" width="15" style="19" bestFit="1" customWidth="1"/>
    <col min="24" max="43" width="6.44140625" style="19" bestFit="1" customWidth="1"/>
    <col min="44" max="44" width="12.44140625" style="19" customWidth="1"/>
    <col min="45" max="16384" width="9.33203125" style="19"/>
  </cols>
  <sheetData>
    <row r="1" spans="1:35" s="596" customFormat="1" ht="18" x14ac:dyDescent="0.3">
      <c r="A1" s="14" t="s">
        <v>164</v>
      </c>
    </row>
    <row r="2" spans="1:35" x14ac:dyDescent="0.3">
      <c r="B2" s="595" t="s">
        <v>165</v>
      </c>
    </row>
    <row r="3" spans="1:35" s="474" customFormat="1" ht="18" x14ac:dyDescent="0.3">
      <c r="A3" s="472"/>
      <c r="B3" s="15" t="s">
        <v>166</v>
      </c>
    </row>
    <row r="4" spans="1:35" ht="12.75" customHeight="1" x14ac:dyDescent="0.3">
      <c r="A4" s="369"/>
      <c r="B4" s="2"/>
    </row>
    <row r="5" spans="1:35" x14ac:dyDescent="0.3">
      <c r="A5" s="369"/>
      <c r="B5" s="370" t="s">
        <v>167</v>
      </c>
      <c r="C5" s="371"/>
      <c r="E5" s="370" t="s">
        <v>168</v>
      </c>
      <c r="F5" s="372"/>
      <c r="G5" s="372"/>
      <c r="H5" s="371"/>
      <c r="J5" s="370" t="s">
        <v>169</v>
      </c>
      <c r="K5" s="372"/>
      <c r="L5" s="373" t="s">
        <v>92</v>
      </c>
      <c r="M5" s="374" t="s">
        <v>89</v>
      </c>
      <c r="P5" s="375" t="s">
        <v>105</v>
      </c>
      <c r="Q5" s="376"/>
      <c r="R5" s="376"/>
      <c r="W5" s="1"/>
    </row>
    <row r="6" spans="1:35" x14ac:dyDescent="0.3">
      <c r="A6" s="369"/>
      <c r="B6" s="377" t="s">
        <v>170</v>
      </c>
      <c r="C6" s="378">
        <f>'Battery Costs'!F14</f>
        <v>1</v>
      </c>
      <c r="E6" s="379" t="s">
        <v>171</v>
      </c>
      <c r="F6" s="380"/>
      <c r="G6" s="381"/>
      <c r="H6" s="382">
        <f>'IRP Inputs'!C3</f>
        <v>0.21</v>
      </c>
      <c r="J6" s="383" t="s">
        <v>38</v>
      </c>
      <c r="K6" s="148"/>
      <c r="L6" s="384">
        <f t="shared" ref="L6:L18" si="0">IF($C$21&gt;0,-($C48+NPV($H$24,$D48:$AQ48))/$C$64/(1-$H$8),"n/a")</f>
        <v>80.120450810559348</v>
      </c>
      <c r="M6" s="385">
        <f t="shared" ref="M6:M13" si="1">-($C48+NPV($H$24,$D48:$AQ48))/$C$65/(1-$H$8)</f>
        <v>105.27827236507497</v>
      </c>
      <c r="P6" s="242" t="s">
        <v>172</v>
      </c>
      <c r="Q6" s="242"/>
      <c r="R6" s="242">
        <v>0</v>
      </c>
      <c r="W6" s="5"/>
    </row>
    <row r="7" spans="1:35" x14ac:dyDescent="0.3">
      <c r="A7" s="369"/>
      <c r="B7" s="386" t="s">
        <v>173</v>
      </c>
      <c r="C7" s="387">
        <f>'IRP Inputs'!C8</f>
        <v>4</v>
      </c>
      <c r="E7" s="388" t="s">
        <v>174</v>
      </c>
      <c r="F7" s="389"/>
      <c r="G7" s="390"/>
      <c r="H7" s="382">
        <f>'IRP Inputs'!C4</f>
        <v>8.8400000000000006E-2</v>
      </c>
      <c r="I7" s="1"/>
      <c r="J7" s="352" t="s">
        <v>86</v>
      </c>
      <c r="K7" s="391"/>
      <c r="L7" s="384">
        <f t="shared" si="0"/>
        <v>7.9622808258940978</v>
      </c>
      <c r="M7" s="392">
        <f t="shared" si="1"/>
        <v>10.462437005224842</v>
      </c>
      <c r="P7" s="1"/>
      <c r="Q7" s="1"/>
      <c r="R7" s="1"/>
      <c r="W7" s="5"/>
    </row>
    <row r="8" spans="1:35" x14ac:dyDescent="0.3">
      <c r="A8" s="369"/>
      <c r="B8" s="393" t="s">
        <v>175</v>
      </c>
      <c r="C8" s="149">
        <f>'Battery Costs'!F21</f>
        <v>96.984332948865827</v>
      </c>
      <c r="E8" s="394" t="s">
        <v>176</v>
      </c>
      <c r="F8" s="389"/>
      <c r="G8" s="390"/>
      <c r="H8" s="395">
        <f>'IRP Inputs'!C5</f>
        <v>0.27983599999999997</v>
      </c>
      <c r="I8" s="1"/>
      <c r="J8" s="352" t="s">
        <v>142</v>
      </c>
      <c r="K8" s="391"/>
      <c r="L8" s="384">
        <f t="shared" si="0"/>
        <v>0</v>
      </c>
      <c r="M8" s="392">
        <f t="shared" si="1"/>
        <v>0</v>
      </c>
      <c r="P8" s="396" t="s">
        <v>177</v>
      </c>
      <c r="Q8" s="1"/>
      <c r="R8" s="397" t="s">
        <v>178</v>
      </c>
      <c r="W8" s="5"/>
    </row>
    <row r="9" spans="1:35" x14ac:dyDescent="0.3">
      <c r="A9" s="369"/>
      <c r="B9" s="393" t="s">
        <v>179</v>
      </c>
      <c r="C9" s="149">
        <f>'Battery Costs'!G21</f>
        <v>227.31641676278355</v>
      </c>
      <c r="D9" s="398"/>
      <c r="E9" s="356" t="s">
        <v>180</v>
      </c>
      <c r="F9" s="359"/>
      <c r="G9" s="399"/>
      <c r="H9" s="400">
        <f>'Battery Costs'!F57</f>
        <v>0</v>
      </c>
      <c r="I9" s="1"/>
      <c r="J9" s="352" t="s">
        <v>127</v>
      </c>
      <c r="K9" s="391"/>
      <c r="L9" s="384">
        <f t="shared" si="0"/>
        <v>0</v>
      </c>
      <c r="M9" s="392">
        <f t="shared" si="1"/>
        <v>0</v>
      </c>
      <c r="P9" s="401">
        <f>R6</f>
        <v>0</v>
      </c>
      <c r="Q9" s="242"/>
      <c r="R9" s="402">
        <v>0</v>
      </c>
    </row>
    <row r="10" spans="1:35" x14ac:dyDescent="0.3">
      <c r="A10" s="369"/>
      <c r="B10" s="386" t="s">
        <v>181</v>
      </c>
      <c r="C10" s="403">
        <f>C8*$C$6+C9*$C$7</f>
        <v>1006.25</v>
      </c>
      <c r="D10" s="39"/>
      <c r="E10" s="356" t="s">
        <v>182</v>
      </c>
      <c r="F10" s="359"/>
      <c r="G10" s="399"/>
      <c r="H10" s="404">
        <f>'Battery Costs'!F58</f>
        <v>0</v>
      </c>
      <c r="I10" s="1"/>
      <c r="J10" s="352" t="s">
        <v>41</v>
      </c>
      <c r="K10" s="391"/>
      <c r="L10" s="384">
        <f t="shared" si="0"/>
        <v>5.8518647259542442</v>
      </c>
      <c r="M10" s="385">
        <f t="shared" si="1"/>
        <v>7.6893502499038764</v>
      </c>
      <c r="P10" s="401">
        <f>IF($R$6*2&lt;$C$24,$R$6*2,0)</f>
        <v>0</v>
      </c>
      <c r="Q10" s="242"/>
      <c r="R10" s="402">
        <v>0</v>
      </c>
    </row>
    <row r="11" spans="1:35" x14ac:dyDescent="0.3">
      <c r="A11" s="369"/>
      <c r="B11" s="393" t="s">
        <v>183</v>
      </c>
      <c r="C11" s="405">
        <f>C6*C8*1000</f>
        <v>96984.33294886582</v>
      </c>
      <c r="D11" s="40"/>
      <c r="E11" s="356" t="s">
        <v>184</v>
      </c>
      <c r="F11" s="359"/>
      <c r="G11" s="399"/>
      <c r="H11" s="406">
        <v>0.02</v>
      </c>
      <c r="I11" s="1"/>
      <c r="J11" s="352" t="s">
        <v>185</v>
      </c>
      <c r="K11" s="391"/>
      <c r="L11" s="384">
        <f t="shared" si="0"/>
        <v>5.2675729553404018</v>
      </c>
      <c r="M11" s="392">
        <f t="shared" si="1"/>
        <v>6.921590863317288</v>
      </c>
      <c r="P11" s="401">
        <f>IF($R$6*3&lt;$C$24,$R$6*3,0)</f>
        <v>0</v>
      </c>
      <c r="Q11" s="242"/>
      <c r="R11" s="402">
        <v>0</v>
      </c>
    </row>
    <row r="12" spans="1:35" x14ac:dyDescent="0.3">
      <c r="A12" s="369"/>
      <c r="B12" s="393" t="s">
        <v>186</v>
      </c>
      <c r="C12" s="405">
        <f>C7*C9*C6*1000</f>
        <v>909265.66705113417</v>
      </c>
      <c r="D12" s="40"/>
      <c r="E12" s="388" t="s">
        <v>187</v>
      </c>
      <c r="F12" s="389"/>
      <c r="G12" s="390"/>
      <c r="H12" s="407">
        <f>'Battery Costs'!F55</f>
        <v>0</v>
      </c>
      <c r="I12" s="1"/>
      <c r="J12" s="408" t="s">
        <v>188</v>
      </c>
      <c r="K12" s="391"/>
      <c r="L12" s="384">
        <f t="shared" si="0"/>
        <v>8.3037960461290723</v>
      </c>
      <c r="M12" s="392">
        <f t="shared" si="1"/>
        <v>10.911188004613599</v>
      </c>
      <c r="P12" s="401">
        <v>0</v>
      </c>
      <c r="Q12" s="242"/>
      <c r="R12" s="402">
        <v>0</v>
      </c>
    </row>
    <row r="13" spans="1:35" x14ac:dyDescent="0.3">
      <c r="A13" s="369"/>
      <c r="B13" s="386" t="s">
        <v>189</v>
      </c>
      <c r="C13" s="405">
        <f>$C$10*$C$6*1000</f>
        <v>1006250</v>
      </c>
      <c r="D13" s="409"/>
      <c r="E13" s="388" t="s">
        <v>190</v>
      </c>
      <c r="F13" s="410"/>
      <c r="G13" s="411"/>
      <c r="H13" s="412">
        <f>'Battery Costs'!F56</f>
        <v>0.95</v>
      </c>
      <c r="I13" s="1"/>
      <c r="J13" s="352" t="s">
        <v>105</v>
      </c>
      <c r="K13" s="391"/>
      <c r="L13" s="384">
        <f t="shared" si="0"/>
        <v>0</v>
      </c>
      <c r="M13" s="392">
        <f t="shared" si="1"/>
        <v>0</v>
      </c>
      <c r="P13" s="401">
        <v>0</v>
      </c>
      <c r="Q13" s="242"/>
      <c r="R13" s="402">
        <v>0</v>
      </c>
    </row>
    <row r="14" spans="1:35" x14ac:dyDescent="0.3">
      <c r="A14" s="369"/>
      <c r="B14" s="56" t="s">
        <v>191</v>
      </c>
      <c r="C14" s="629">
        <v>0</v>
      </c>
      <c r="D14" s="46"/>
      <c r="E14" s="388" t="s">
        <v>192</v>
      </c>
      <c r="F14" s="389"/>
      <c r="G14" s="390"/>
      <c r="H14" s="413">
        <v>0.5</v>
      </c>
      <c r="I14" s="1"/>
      <c r="J14" s="352" t="s">
        <v>91</v>
      </c>
      <c r="K14" s="391"/>
      <c r="L14" s="384">
        <f t="shared" si="0"/>
        <v>0</v>
      </c>
      <c r="M14" s="392"/>
    </row>
    <row r="15" spans="1:35" x14ac:dyDescent="0.3">
      <c r="A15" s="369"/>
      <c r="B15" s="414" t="s">
        <v>193</v>
      </c>
      <c r="C15" s="415">
        <f>C13+C14</f>
        <v>1006250</v>
      </c>
      <c r="D15" s="1"/>
      <c r="E15" s="388" t="s">
        <v>194</v>
      </c>
      <c r="F15" s="410"/>
      <c r="G15" s="411"/>
      <c r="H15" s="416">
        <f>'Battery Costs'!F59</f>
        <v>7</v>
      </c>
      <c r="I15" s="1"/>
      <c r="J15" s="352" t="s">
        <v>138</v>
      </c>
      <c r="K15" s="391"/>
      <c r="L15" s="384">
        <f t="shared" si="0"/>
        <v>0</v>
      </c>
      <c r="M15" s="392"/>
      <c r="X15" s="1"/>
      <c r="Y15" s="1"/>
      <c r="Z15" s="1"/>
      <c r="AF15" s="417"/>
    </row>
    <row r="16" spans="1:35" x14ac:dyDescent="0.3">
      <c r="A16" s="369"/>
      <c r="B16" s="74"/>
      <c r="D16" s="418"/>
      <c r="E16" s="419" t="s">
        <v>195</v>
      </c>
      <c r="F16" s="359"/>
      <c r="G16" s="399"/>
      <c r="H16" s="406" t="b">
        <v>0</v>
      </c>
      <c r="I16" s="1"/>
      <c r="J16" s="352" t="s">
        <v>139</v>
      </c>
      <c r="K16" s="391"/>
      <c r="L16" s="384">
        <f t="shared" si="0"/>
        <v>0</v>
      </c>
      <c r="M16" s="420"/>
      <c r="X16" s="1"/>
      <c r="Y16" s="1"/>
      <c r="Z16" s="1"/>
      <c r="AI16" s="117"/>
    </row>
    <row r="17" spans="1:30" x14ac:dyDescent="0.3">
      <c r="A17" s="369"/>
      <c r="B17" s="377" t="s">
        <v>196</v>
      </c>
      <c r="C17" s="159">
        <f>'Battery Costs'!F23</f>
        <v>100</v>
      </c>
      <c r="D17" s="1"/>
      <c r="E17" s="360" t="s">
        <v>197</v>
      </c>
      <c r="F17" s="319"/>
      <c r="G17" s="421"/>
      <c r="H17" s="422">
        <f>MAX(MIN(2027-yearID,5)*20%,0%)</f>
        <v>1</v>
      </c>
      <c r="I17" s="1"/>
      <c r="J17" s="353" t="s">
        <v>130</v>
      </c>
      <c r="K17" s="423"/>
      <c r="L17" s="424">
        <f t="shared" si="0"/>
        <v>0</v>
      </c>
      <c r="M17" s="425">
        <f>-($C59+NPV($H$24,$D59:$AQ59))/$C$65/(1-$H$8)</f>
        <v>0</v>
      </c>
      <c r="X17" s="1"/>
      <c r="Y17" s="1"/>
      <c r="Z17" s="1"/>
    </row>
    <row r="18" spans="1:30" x14ac:dyDescent="0.3">
      <c r="A18" s="369"/>
      <c r="B18" s="426" t="s">
        <v>198</v>
      </c>
      <c r="C18" s="427">
        <f>C17*C6*1000</f>
        <v>100000</v>
      </c>
      <c r="D18" s="1"/>
      <c r="I18" s="428"/>
      <c r="J18" s="429" t="s">
        <v>140</v>
      </c>
      <c r="K18" s="423"/>
      <c r="L18" s="430">
        <f t="shared" si="0"/>
        <v>107.50596536387717</v>
      </c>
      <c r="M18" s="431">
        <f>SUM(M6:M17)</f>
        <v>141.26283848813458</v>
      </c>
    </row>
    <row r="19" spans="1:30" x14ac:dyDescent="0.3">
      <c r="A19" s="369"/>
      <c r="C19" s="113"/>
      <c r="D19" s="39"/>
      <c r="E19" s="370" t="s">
        <v>199</v>
      </c>
      <c r="F19" s="372"/>
      <c r="G19" s="372"/>
      <c r="H19" s="371"/>
      <c r="I19" s="288"/>
      <c r="M19" s="432"/>
    </row>
    <row r="20" spans="1:30" x14ac:dyDescent="0.3">
      <c r="A20" s="369"/>
      <c r="B20" s="370" t="s">
        <v>66</v>
      </c>
      <c r="C20" s="371"/>
      <c r="D20" s="1"/>
      <c r="E20" s="433" t="s">
        <v>200</v>
      </c>
      <c r="F20" s="434"/>
      <c r="G20" s="435"/>
      <c r="H20" s="436" t="b">
        <v>0</v>
      </c>
      <c r="I20" s="1"/>
      <c r="W20" s="5"/>
    </row>
    <row r="21" spans="1:30" x14ac:dyDescent="0.3">
      <c r="A21" s="369"/>
      <c r="B21" s="377" t="s">
        <v>201</v>
      </c>
      <c r="C21" s="437">
        <f>'Battery Costs'!F16</f>
        <v>0.15</v>
      </c>
      <c r="D21" s="1"/>
      <c r="E21" s="394" t="s">
        <v>121</v>
      </c>
      <c r="F21" s="410"/>
      <c r="G21" s="411"/>
      <c r="H21" s="395">
        <f>1-H22</f>
        <v>0.8</v>
      </c>
      <c r="I21" s="1"/>
      <c r="W21" s="5"/>
    </row>
    <row r="22" spans="1:30" x14ac:dyDescent="0.3">
      <c r="A22" s="369"/>
      <c r="B22" s="386" t="s">
        <v>202</v>
      </c>
      <c r="C22" s="438">
        <f>8760*C21*C6</f>
        <v>1314</v>
      </c>
      <c r="D22" s="1"/>
      <c r="E22" s="439" t="s">
        <v>203</v>
      </c>
      <c r="F22" s="389"/>
      <c r="G22" s="390"/>
      <c r="H22" s="440">
        <f>'Battery Costs'!F46</f>
        <v>0.2</v>
      </c>
      <c r="I22" s="441"/>
      <c r="W22" s="1"/>
    </row>
    <row r="23" spans="1:30" x14ac:dyDescent="0.3">
      <c r="A23" s="369"/>
      <c r="B23" s="386" t="s">
        <v>204</v>
      </c>
      <c r="C23" s="442">
        <f>'Battery Costs'!F17</f>
        <v>0</v>
      </c>
      <c r="D23" s="1"/>
      <c r="E23" s="439" t="s">
        <v>205</v>
      </c>
      <c r="F23" s="389"/>
      <c r="G23" s="390"/>
      <c r="H23" s="382">
        <f>'Battery Costs'!F44</f>
        <v>4.7270264557823349E-2</v>
      </c>
      <c r="I23" s="1"/>
    </row>
    <row r="24" spans="1:30" x14ac:dyDescent="0.3">
      <c r="A24" s="369"/>
      <c r="B24" s="426" t="s">
        <v>206</v>
      </c>
      <c r="C24" s="443">
        <f>'Battery Costs'!F41</f>
        <v>20</v>
      </c>
      <c r="D24" s="39"/>
      <c r="E24" s="439" t="s">
        <v>207</v>
      </c>
      <c r="F24" s="389"/>
      <c r="G24" s="390"/>
      <c r="H24" s="444">
        <f>(H26-H23*(1-H21)*(1-H8))/H21</f>
        <v>0.10560289184472417</v>
      </c>
      <c r="I24" s="1"/>
    </row>
    <row r="25" spans="1:30" x14ac:dyDescent="0.3">
      <c r="A25" s="369"/>
      <c r="D25" s="1"/>
      <c r="E25" s="439" t="s">
        <v>208</v>
      </c>
      <c r="F25" s="389"/>
      <c r="G25" s="390"/>
      <c r="H25" s="445">
        <f>'Battery Costs'!F42</f>
        <v>18</v>
      </c>
      <c r="I25" s="446"/>
      <c r="T25" s="1"/>
      <c r="U25" s="5"/>
      <c r="V25" s="5"/>
    </row>
    <row r="26" spans="1:30" x14ac:dyDescent="0.3">
      <c r="A26" s="369"/>
      <c r="B26" s="370" t="s">
        <v>209</v>
      </c>
      <c r="C26" s="371"/>
      <c r="E26" s="439" t="s">
        <v>112</v>
      </c>
      <c r="F26" s="410"/>
      <c r="G26" s="411"/>
      <c r="H26" s="447">
        <f>'Battery Costs'!F43</f>
        <v>9.1290782036783397E-2</v>
      </c>
      <c r="T26" s="1"/>
      <c r="U26" s="5"/>
      <c r="V26" s="5"/>
    </row>
    <row r="27" spans="1:30" x14ac:dyDescent="0.3">
      <c r="A27" s="369"/>
      <c r="B27" s="377" t="s">
        <v>210</v>
      </c>
      <c r="C27" s="448">
        <f>'Battery Costs'!F26</f>
        <v>7.6893502499038835</v>
      </c>
      <c r="D27" s="1"/>
      <c r="E27" s="439" t="s">
        <v>211</v>
      </c>
      <c r="F27" s="389"/>
      <c r="G27" s="411"/>
      <c r="H27" s="449">
        <f>H23/2</f>
        <v>2.3635132278911675E-2</v>
      </c>
      <c r="I27" s="450"/>
      <c r="T27" s="1"/>
      <c r="U27" s="5"/>
      <c r="V27" s="5"/>
    </row>
    <row r="28" spans="1:30" x14ac:dyDescent="0.3">
      <c r="A28" s="369"/>
      <c r="B28" s="386" t="s">
        <v>212</v>
      </c>
      <c r="C28" s="152">
        <f>'Battery Costs'!G26</f>
        <v>0</v>
      </c>
      <c r="D28" s="39"/>
      <c r="E28" s="358" t="s">
        <v>117</v>
      </c>
      <c r="F28" s="359"/>
      <c r="G28" s="399"/>
      <c r="H28" s="406">
        <v>0.02</v>
      </c>
      <c r="I28" s="1"/>
      <c r="T28" s="1"/>
      <c r="U28" s="5"/>
      <c r="V28" s="5"/>
      <c r="W28" s="451"/>
    </row>
    <row r="29" spans="1:30" x14ac:dyDescent="0.3">
      <c r="A29" s="369"/>
      <c r="B29" s="386" t="s">
        <v>213</v>
      </c>
      <c r="C29" s="452">
        <f>C27+C28*C7</f>
        <v>7.6893502499038835</v>
      </c>
      <c r="D29" s="39"/>
      <c r="E29" s="360" t="s">
        <v>214</v>
      </c>
      <c r="F29" s="319"/>
      <c r="G29" s="421"/>
      <c r="H29" s="422" t="b">
        <v>1</v>
      </c>
      <c r="I29" s="1"/>
      <c r="M29" s="1"/>
      <c r="T29" s="1"/>
      <c r="U29" s="5"/>
      <c r="V29" s="5"/>
      <c r="AA29" s="453"/>
      <c r="AB29" s="453"/>
      <c r="AC29" s="453"/>
      <c r="AD29" s="453"/>
    </row>
    <row r="30" spans="1:30" x14ac:dyDescent="0.3">
      <c r="A30" s="369"/>
      <c r="B30" s="56" t="s">
        <v>215</v>
      </c>
      <c r="C30" s="442">
        <f>'Battery Costs'!F27</f>
        <v>0.02</v>
      </c>
      <c r="D30" s="39"/>
      <c r="E30" s="454" t="s">
        <v>216</v>
      </c>
      <c r="F30" s="455"/>
      <c r="G30" s="456"/>
      <c r="H30" s="415">
        <f>H21*SUM(C15,C18)</f>
        <v>885000</v>
      </c>
      <c r="I30" s="1"/>
      <c r="M30" s="1"/>
      <c r="T30" s="1"/>
      <c r="U30" s="5"/>
      <c r="V30" s="5"/>
      <c r="AA30" s="453"/>
      <c r="AB30" s="453"/>
      <c r="AC30" s="453"/>
      <c r="AD30" s="453"/>
    </row>
    <row r="31" spans="1:30" x14ac:dyDescent="0.3">
      <c r="A31" s="369"/>
      <c r="B31" s="56" t="s">
        <v>217</v>
      </c>
      <c r="C31" s="152">
        <f>'Battery Costs'!F28</f>
        <v>0</v>
      </c>
      <c r="D31" s="39"/>
      <c r="E31" s="454" t="s">
        <v>218</v>
      </c>
      <c r="F31" s="455"/>
      <c r="G31" s="456"/>
      <c r="H31" s="415">
        <f>H22*SUM(C15,C18)</f>
        <v>221250</v>
      </c>
      <c r="I31" s="1"/>
      <c r="M31" s="1"/>
      <c r="T31" s="1"/>
      <c r="U31" s="5"/>
      <c r="V31" s="5"/>
      <c r="X31" s="453"/>
      <c r="AA31" s="453"/>
      <c r="AB31" s="453"/>
      <c r="AC31" s="453"/>
      <c r="AD31" s="453"/>
    </row>
    <row r="32" spans="1:30" x14ac:dyDescent="0.3">
      <c r="A32" s="369"/>
      <c r="B32" s="56" t="s">
        <v>219</v>
      </c>
      <c r="C32" s="457">
        <f>'Battery Costs'!F29</f>
        <v>0.02</v>
      </c>
      <c r="E32" s="398"/>
      <c r="H32" s="1"/>
      <c r="I32" s="1"/>
      <c r="M32" s="1"/>
      <c r="T32" s="1"/>
      <c r="U32" s="5"/>
      <c r="V32" s="5"/>
    </row>
    <row r="33" spans="1:45" x14ac:dyDescent="0.3">
      <c r="A33" s="369"/>
      <c r="B33" s="458" t="s">
        <v>220</v>
      </c>
      <c r="C33" s="459">
        <f>'Battery Costs'!F31</f>
        <v>0</v>
      </c>
      <c r="D33" s="460"/>
      <c r="E33" s="19" t="s">
        <v>221</v>
      </c>
      <c r="H33" s="461">
        <f>ROUND(NPV(H24,C107:AQ107),2)</f>
        <v>0</v>
      </c>
      <c r="I33" s="1"/>
      <c r="M33" s="460"/>
      <c r="T33" s="1"/>
      <c r="U33" s="5"/>
      <c r="V33" s="5"/>
    </row>
    <row r="34" spans="1:45" x14ac:dyDescent="0.3">
      <c r="A34" s="369"/>
      <c r="B34" s="458" t="s">
        <v>222</v>
      </c>
      <c r="C34" s="462">
        <f>'Battery Costs'!F32</f>
        <v>0</v>
      </c>
      <c r="D34" s="460"/>
      <c r="E34" s="19" t="s">
        <v>223</v>
      </c>
      <c r="H34" s="463">
        <f>'Battery Costs'!F49</f>
        <v>1.4</v>
      </c>
      <c r="I34" s="1"/>
      <c r="M34" s="460"/>
      <c r="T34" s="1"/>
      <c r="U34" s="5"/>
      <c r="V34" s="5"/>
    </row>
    <row r="35" spans="1:45" x14ac:dyDescent="0.3">
      <c r="A35" s="369"/>
      <c r="B35" s="458" t="s">
        <v>224</v>
      </c>
      <c r="C35" s="404">
        <f>'Battery Costs'!F33</f>
        <v>0</v>
      </c>
      <c r="D35" s="460"/>
      <c r="E35" s="19" t="s">
        <v>225</v>
      </c>
      <c r="H35" s="464">
        <f>C149</f>
        <v>7.5296070770943437</v>
      </c>
      <c r="I35" s="1"/>
      <c r="J35" s="1"/>
      <c r="K35" s="1"/>
      <c r="L35" s="1"/>
      <c r="M35" s="460"/>
      <c r="T35" s="1"/>
      <c r="U35" s="5"/>
      <c r="V35" s="5"/>
      <c r="W35" s="465"/>
    </row>
    <row r="36" spans="1:45" x14ac:dyDescent="0.3">
      <c r="A36" s="369"/>
      <c r="B36" s="458" t="s">
        <v>226</v>
      </c>
      <c r="C36" s="626">
        <v>0</v>
      </c>
      <c r="D36" s="460"/>
      <c r="E36" s="24"/>
      <c r="F36" s="24"/>
      <c r="G36" s="24"/>
      <c r="H36" s="1"/>
      <c r="I36" s="1"/>
      <c r="J36" s="1"/>
      <c r="K36" s="1"/>
      <c r="L36" s="1"/>
      <c r="M36" s="460"/>
      <c r="N36" s="460"/>
      <c r="O36" s="460"/>
      <c r="P36" s="460"/>
      <c r="Q36" s="460"/>
      <c r="T36" s="1"/>
      <c r="U36" s="5"/>
      <c r="V36" s="5"/>
    </row>
    <row r="37" spans="1:45" x14ac:dyDescent="0.3">
      <c r="A37" s="369"/>
      <c r="B37" s="458" t="s">
        <v>227</v>
      </c>
      <c r="C37" s="627">
        <v>0</v>
      </c>
      <c r="D37" s="24"/>
      <c r="E37" s="119" t="s">
        <v>5</v>
      </c>
      <c r="F37" s="24"/>
      <c r="G37" s="466"/>
      <c r="H37" s="1"/>
      <c r="I37" s="1"/>
      <c r="J37" s="1"/>
      <c r="K37" s="1"/>
      <c r="L37" s="1"/>
      <c r="M37" s="24"/>
      <c r="N37" s="24"/>
      <c r="O37" s="24"/>
      <c r="P37" s="24"/>
      <c r="Q37" s="24"/>
      <c r="T37" s="1"/>
      <c r="U37" s="5"/>
      <c r="V37" s="5"/>
      <c r="X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 x14ac:dyDescent="0.3">
      <c r="A38" s="369"/>
      <c r="B38" s="458" t="s">
        <v>228</v>
      </c>
      <c r="C38" s="628">
        <v>0</v>
      </c>
      <c r="D38" s="24"/>
      <c r="E38" s="120" t="s">
        <v>6</v>
      </c>
      <c r="F38" s="24"/>
      <c r="G38" s="466"/>
      <c r="H38" s="1"/>
      <c r="I38" s="1"/>
      <c r="J38" s="1"/>
      <c r="K38" s="1"/>
      <c r="L38" s="1"/>
      <c r="M38" s="24"/>
      <c r="N38" s="24"/>
      <c r="O38" s="24"/>
      <c r="P38" s="24"/>
      <c r="Q38" s="24"/>
      <c r="T38" s="1"/>
      <c r="U38" s="5"/>
      <c r="V38" s="5"/>
      <c r="X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 x14ac:dyDescent="0.3">
      <c r="A39" s="369"/>
      <c r="B39" s="56" t="s">
        <v>229</v>
      </c>
      <c r="C39" s="440">
        <f>'Battery Costs'!F37</f>
        <v>0</v>
      </c>
      <c r="D39" s="24"/>
      <c r="E39" s="121" t="s">
        <v>7</v>
      </c>
      <c r="F39" s="24"/>
      <c r="G39" s="466"/>
      <c r="H39" s="1"/>
      <c r="I39" s="1"/>
      <c r="J39" s="1"/>
      <c r="K39" s="1"/>
      <c r="L39" s="1"/>
      <c r="M39" s="24"/>
      <c r="N39" s="24"/>
      <c r="O39" s="24"/>
      <c r="P39" s="24"/>
      <c r="Q39" s="24"/>
      <c r="X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 x14ac:dyDescent="0.3">
      <c r="A40" s="369"/>
      <c r="B40" s="467" t="s">
        <v>230</v>
      </c>
      <c r="C40" s="468">
        <v>0</v>
      </c>
      <c r="D40" s="24"/>
      <c r="E40" s="122" t="s">
        <v>9</v>
      </c>
      <c r="F40" s="24"/>
      <c r="G40" s="466"/>
      <c r="H40" s="1"/>
      <c r="I40" s="1"/>
      <c r="J40" s="1"/>
      <c r="K40" s="1"/>
      <c r="L40" s="1"/>
      <c r="M40" s="24"/>
      <c r="N40" s="24"/>
      <c r="O40" s="24"/>
      <c r="P40" s="24"/>
      <c r="Q40" s="24"/>
      <c r="X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 x14ac:dyDescent="0.3">
      <c r="A41" s="369"/>
      <c r="B41" s="386" t="s">
        <v>231</v>
      </c>
      <c r="C41" s="440">
        <f>'Battery Costs'!F34</f>
        <v>8.4499999999999992E-3</v>
      </c>
      <c r="D41" s="24"/>
      <c r="E41" s="123" t="s">
        <v>11</v>
      </c>
      <c r="F41" s="24"/>
      <c r="G41" s="466"/>
      <c r="H41" s="1"/>
      <c r="I41" s="1"/>
      <c r="J41" s="1"/>
      <c r="K41" s="1"/>
      <c r="L41" s="1"/>
      <c r="M41" s="24"/>
      <c r="N41" s="24"/>
      <c r="O41" s="24"/>
      <c r="P41" s="24"/>
      <c r="Q41" s="24"/>
      <c r="X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 x14ac:dyDescent="0.3">
      <c r="A42" s="369"/>
      <c r="B42" s="56" t="s">
        <v>232</v>
      </c>
      <c r="C42" s="469">
        <f>'Battery Costs'!F35</f>
        <v>2</v>
      </c>
      <c r="D42" s="24"/>
      <c r="E42" s="470" t="s">
        <v>233</v>
      </c>
      <c r="F42" s="24"/>
      <c r="G42" s="466"/>
      <c r="H42" s="1"/>
      <c r="I42" s="1"/>
      <c r="J42" s="1"/>
      <c r="K42" s="1"/>
      <c r="L42" s="1"/>
      <c r="M42" s="24"/>
      <c r="N42" s="24"/>
      <c r="O42" s="24"/>
      <c r="P42" s="24"/>
      <c r="Q42" s="24"/>
      <c r="X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 x14ac:dyDescent="0.3">
      <c r="A43" s="369"/>
      <c r="B43" s="426" t="s">
        <v>234</v>
      </c>
      <c r="C43" s="471">
        <f>'Battery Costs'!G36</f>
        <v>1.2E-2</v>
      </c>
      <c r="D43" s="24"/>
      <c r="F43" s="24"/>
      <c r="G43" s="466"/>
      <c r="H43" s="1"/>
      <c r="I43" s="1"/>
      <c r="J43" s="1"/>
      <c r="K43" s="1"/>
      <c r="L43" s="1"/>
      <c r="M43" s="24"/>
      <c r="N43" s="24"/>
      <c r="O43" s="24"/>
      <c r="P43" s="24"/>
      <c r="Q43" s="24"/>
      <c r="X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 x14ac:dyDescent="0.3">
      <c r="A44" s="369"/>
      <c r="C44" s="24"/>
      <c r="D44" s="24"/>
      <c r="E44" s="24"/>
      <c r="F44" s="24"/>
      <c r="G44" s="466"/>
      <c r="H44" s="1"/>
      <c r="I44" s="1"/>
      <c r="J44" s="1"/>
      <c r="K44" s="1"/>
      <c r="L44" s="1"/>
      <c r="M44" s="24"/>
      <c r="N44" s="24"/>
      <c r="O44" s="24"/>
      <c r="P44" s="24"/>
      <c r="Q44" s="24"/>
      <c r="X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 s="474" customFormat="1" x14ac:dyDescent="0.3">
      <c r="A45" s="472"/>
      <c r="B45" s="473" t="s">
        <v>235</v>
      </c>
      <c r="C45" s="466"/>
      <c r="D45" s="24"/>
      <c r="F45" s="24"/>
      <c r="G45" s="475"/>
      <c r="H45" s="1"/>
      <c r="I45" s="1"/>
      <c r="J45" s="1"/>
      <c r="K45" s="1"/>
      <c r="L45" s="1"/>
      <c r="M45" s="466"/>
      <c r="N45" s="466"/>
      <c r="O45" s="466"/>
      <c r="P45" s="466"/>
      <c r="Q45" s="466"/>
      <c r="V45" s="19"/>
      <c r="W45" s="19"/>
      <c r="X45" s="466"/>
      <c r="AA45" s="466"/>
      <c r="AB45" s="466"/>
      <c r="AC45" s="466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466"/>
      <c r="AQ45" s="466"/>
      <c r="AR45" s="466"/>
      <c r="AS45" s="466"/>
    </row>
    <row r="46" spans="1:45" x14ac:dyDescent="0.3">
      <c r="A46" s="369"/>
      <c r="C46" s="466"/>
      <c r="D46" s="24"/>
      <c r="E46" s="24"/>
      <c r="F46" s="466"/>
      <c r="G46" s="466"/>
      <c r="H46" s="1"/>
      <c r="I46" s="1"/>
      <c r="J46" s="1"/>
      <c r="K46" s="1"/>
      <c r="L46" s="1"/>
      <c r="M46" s="466"/>
      <c r="N46" s="466"/>
      <c r="O46" s="466"/>
      <c r="P46" s="466"/>
      <c r="Q46" s="466"/>
      <c r="V46" s="476"/>
      <c r="W46" s="47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</row>
    <row r="47" spans="1:45" x14ac:dyDescent="0.3">
      <c r="A47" s="369"/>
      <c r="B47" s="370" t="s">
        <v>236</v>
      </c>
      <c r="C47" s="477">
        <v>0</v>
      </c>
      <c r="D47" s="477">
        <v>1</v>
      </c>
      <c r="E47" s="477">
        <v>2</v>
      </c>
      <c r="F47" s="477">
        <v>3</v>
      </c>
      <c r="G47" s="477">
        <v>4</v>
      </c>
      <c r="H47" s="477">
        <v>5</v>
      </c>
      <c r="I47" s="477">
        <v>6</v>
      </c>
      <c r="J47" s="477">
        <v>7</v>
      </c>
      <c r="K47" s="477">
        <v>8</v>
      </c>
      <c r="L47" s="477">
        <v>9</v>
      </c>
      <c r="M47" s="477">
        <v>10</v>
      </c>
      <c r="N47" s="477">
        <v>11</v>
      </c>
      <c r="O47" s="477">
        <v>12</v>
      </c>
      <c r="P47" s="477">
        <v>13</v>
      </c>
      <c r="Q47" s="477">
        <v>14</v>
      </c>
      <c r="R47" s="477">
        <v>15</v>
      </c>
      <c r="S47" s="477">
        <v>16</v>
      </c>
      <c r="T47" s="477">
        <v>17</v>
      </c>
      <c r="U47" s="477">
        <v>18</v>
      </c>
      <c r="V47" s="477">
        <v>19</v>
      </c>
      <c r="W47" s="477">
        <v>20</v>
      </c>
      <c r="X47" s="477">
        <v>21</v>
      </c>
      <c r="Y47" s="477">
        <v>22</v>
      </c>
      <c r="Z47" s="477">
        <v>23</v>
      </c>
      <c r="AA47" s="477">
        <v>24</v>
      </c>
      <c r="AB47" s="477">
        <v>25</v>
      </c>
      <c r="AC47" s="477">
        <v>26</v>
      </c>
      <c r="AD47" s="477">
        <v>27</v>
      </c>
      <c r="AE47" s="477">
        <v>28</v>
      </c>
      <c r="AF47" s="477">
        <v>29</v>
      </c>
      <c r="AG47" s="477">
        <v>30</v>
      </c>
      <c r="AH47" s="477">
        <v>31</v>
      </c>
      <c r="AI47" s="477">
        <v>32</v>
      </c>
      <c r="AJ47" s="477">
        <v>33</v>
      </c>
      <c r="AK47" s="477">
        <v>34</v>
      </c>
      <c r="AL47" s="477">
        <v>35</v>
      </c>
      <c r="AM47" s="477">
        <v>36</v>
      </c>
      <c r="AN47" s="477">
        <v>37</v>
      </c>
      <c r="AO47" s="477">
        <v>38</v>
      </c>
      <c r="AP47" s="477">
        <v>39</v>
      </c>
      <c r="AQ47" s="478">
        <v>40</v>
      </c>
    </row>
    <row r="48" spans="1:45" x14ac:dyDescent="0.3">
      <c r="A48" s="369" t="s">
        <v>237</v>
      </c>
      <c r="B48" s="383" t="s">
        <v>79</v>
      </c>
      <c r="C48" s="479">
        <f>-$C$15*$H21</f>
        <v>-805000</v>
      </c>
      <c r="D48" s="479">
        <f t="shared" ref="D48:AQ48" si="2">IF(D$47&lt;=$H$25,PMT($H$23,$H$25,($C$15)*(1-$H$21)),0)-(IF(D$47&lt;=$H$25,IPMT($H$23,D$47,$H$25,($C$15)*(1-$H$21)),0)-D$178*$C$15)*$H$8</f>
        <v>26049.660273276506</v>
      </c>
      <c r="E48" s="479">
        <f t="shared" si="2"/>
        <v>54674.263731352825</v>
      </c>
      <c r="F48" s="479">
        <f t="shared" si="2"/>
        <v>34861.663248851881</v>
      </c>
      <c r="G48" s="479">
        <f t="shared" si="2"/>
        <v>20675.957138427741</v>
      </c>
      <c r="H48" s="479">
        <f t="shared" si="2"/>
        <v>10540.042400412211</v>
      </c>
      <c r="I48" s="479">
        <f t="shared" si="2"/>
        <v>10395.12413068493</v>
      </c>
      <c r="J48" s="479">
        <f t="shared" si="2"/>
        <v>10301.003590634755</v>
      </c>
      <c r="K48" s="479">
        <f t="shared" si="2"/>
        <v>-2413.9039918702874</v>
      </c>
      <c r="L48" s="479">
        <f t="shared" si="2"/>
        <v>-15106.706469138633</v>
      </c>
      <c r="M48" s="479">
        <f t="shared" si="2"/>
        <v>-15247.158599124041</v>
      </c>
      <c r="N48" s="479">
        <f t="shared" si="2"/>
        <v>-15394.249938451569</v>
      </c>
      <c r="O48" s="479">
        <f t="shared" si="2"/>
        <v>-15548.294324303271</v>
      </c>
      <c r="P48" s="479">
        <f t="shared" si="2"/>
        <v>-15709.620429027835</v>
      </c>
      <c r="Q48" s="479">
        <f t="shared" si="2"/>
        <v>-15878.572461402809</v>
      </c>
      <c r="R48" s="479">
        <f t="shared" si="2"/>
        <v>-16055.510901045731</v>
      </c>
      <c r="S48" s="479">
        <f t="shared" si="2"/>
        <v>-16240.813267541022</v>
      </c>
      <c r="T48" s="479">
        <f t="shared" si="2"/>
        <v>-16434.874925923737</v>
      </c>
      <c r="U48" s="479">
        <f t="shared" si="2"/>
        <v>-16638.109930238734</v>
      </c>
      <c r="V48" s="479">
        <f t="shared" si="2"/>
        <v>0</v>
      </c>
      <c r="W48" s="479">
        <f t="shared" si="2"/>
        <v>0</v>
      </c>
      <c r="X48" s="479">
        <f t="shared" si="2"/>
        <v>0</v>
      </c>
      <c r="Y48" s="479">
        <f t="shared" si="2"/>
        <v>0</v>
      </c>
      <c r="Z48" s="479">
        <f t="shared" si="2"/>
        <v>0</v>
      </c>
      <c r="AA48" s="479">
        <f t="shared" si="2"/>
        <v>0</v>
      </c>
      <c r="AB48" s="479">
        <f t="shared" si="2"/>
        <v>0</v>
      </c>
      <c r="AC48" s="479">
        <f t="shared" si="2"/>
        <v>0</v>
      </c>
      <c r="AD48" s="479">
        <f t="shared" si="2"/>
        <v>0</v>
      </c>
      <c r="AE48" s="479">
        <f t="shared" si="2"/>
        <v>0</v>
      </c>
      <c r="AF48" s="479">
        <f t="shared" si="2"/>
        <v>0</v>
      </c>
      <c r="AG48" s="479">
        <f t="shared" si="2"/>
        <v>0</v>
      </c>
      <c r="AH48" s="479">
        <f t="shared" si="2"/>
        <v>0</v>
      </c>
      <c r="AI48" s="479">
        <f t="shared" si="2"/>
        <v>0</v>
      </c>
      <c r="AJ48" s="479">
        <f t="shared" si="2"/>
        <v>0</v>
      </c>
      <c r="AK48" s="479">
        <f t="shared" si="2"/>
        <v>0</v>
      </c>
      <c r="AL48" s="479">
        <f t="shared" si="2"/>
        <v>0</v>
      </c>
      <c r="AM48" s="479">
        <f t="shared" si="2"/>
        <v>0</v>
      </c>
      <c r="AN48" s="479">
        <f t="shared" si="2"/>
        <v>0</v>
      </c>
      <c r="AO48" s="479">
        <f t="shared" si="2"/>
        <v>0</v>
      </c>
      <c r="AP48" s="479">
        <f t="shared" si="2"/>
        <v>0</v>
      </c>
      <c r="AQ48" s="480">
        <f t="shared" si="2"/>
        <v>0</v>
      </c>
    </row>
    <row r="49" spans="1:44" s="242" customFormat="1" x14ac:dyDescent="0.3">
      <c r="B49" s="481" t="s">
        <v>86</v>
      </c>
      <c r="C49" s="482">
        <f>-$C$18*$H21</f>
        <v>-80000</v>
      </c>
      <c r="D49" s="482">
        <f t="shared" ref="D49:AQ49" si="3">IF(D$47&lt;=$H$25,PMT($H$23,$H$25,($C$18)*(1-$H$21)),0)-(IF(D$47&lt;=$H$25,IPMT($H$23,D$47,$H$25,($C$18)*(1-$H$21)),0)-D$178*$C$18)*$H$8</f>
        <v>2588.7861141144349</v>
      </c>
      <c r="E49" s="482">
        <f t="shared" si="3"/>
        <v>5433.4672031158079</v>
      </c>
      <c r="F49" s="482">
        <f t="shared" si="3"/>
        <v>3464.5131178983238</v>
      </c>
      <c r="G49" s="482">
        <f t="shared" si="3"/>
        <v>2054.7535044400233</v>
      </c>
      <c r="H49" s="482">
        <f t="shared" si="3"/>
        <v>1047.457629854629</v>
      </c>
      <c r="I49" s="482">
        <f t="shared" si="3"/>
        <v>1033.0558142295581</v>
      </c>
      <c r="J49" s="482">
        <f t="shared" si="3"/>
        <v>1023.7022201873042</v>
      </c>
      <c r="K49" s="482">
        <f t="shared" si="3"/>
        <v>-239.89107993742005</v>
      </c>
      <c r="L49" s="482">
        <f t="shared" si="3"/>
        <v>-1501.2875994175042</v>
      </c>
      <c r="M49" s="482">
        <f t="shared" si="3"/>
        <v>-1515.2455750682279</v>
      </c>
      <c r="N49" s="482">
        <f t="shared" si="3"/>
        <v>-1529.8633479206528</v>
      </c>
      <c r="O49" s="482">
        <f t="shared" si="3"/>
        <v>-1545.1721067630583</v>
      </c>
      <c r="P49" s="482">
        <f t="shared" si="3"/>
        <v>-1561.2045146859962</v>
      </c>
      <c r="Q49" s="482">
        <f t="shared" si="3"/>
        <v>-1577.9947787729502</v>
      </c>
      <c r="R49" s="482">
        <f t="shared" si="3"/>
        <v>-1595.5787230852902</v>
      </c>
      <c r="S49" s="482">
        <f t="shared" si="3"/>
        <v>-1613.9938650972447</v>
      </c>
      <c r="T49" s="482">
        <f t="shared" si="3"/>
        <v>-1633.2794957439742</v>
      </c>
      <c r="U49" s="482">
        <f t="shared" si="3"/>
        <v>-1653.4767632535388</v>
      </c>
      <c r="V49" s="482">
        <f t="shared" si="3"/>
        <v>0</v>
      </c>
      <c r="W49" s="482">
        <f t="shared" si="3"/>
        <v>0</v>
      </c>
      <c r="X49" s="482">
        <f t="shared" si="3"/>
        <v>0</v>
      </c>
      <c r="Y49" s="482">
        <f t="shared" si="3"/>
        <v>0</v>
      </c>
      <c r="Z49" s="482">
        <f t="shared" si="3"/>
        <v>0</v>
      </c>
      <c r="AA49" s="482">
        <f t="shared" si="3"/>
        <v>0</v>
      </c>
      <c r="AB49" s="482">
        <f t="shared" si="3"/>
        <v>0</v>
      </c>
      <c r="AC49" s="482">
        <f t="shared" si="3"/>
        <v>0</v>
      </c>
      <c r="AD49" s="482">
        <f t="shared" si="3"/>
        <v>0</v>
      </c>
      <c r="AE49" s="482">
        <f t="shared" si="3"/>
        <v>0</v>
      </c>
      <c r="AF49" s="482">
        <f t="shared" si="3"/>
        <v>0</v>
      </c>
      <c r="AG49" s="482">
        <f t="shared" si="3"/>
        <v>0</v>
      </c>
      <c r="AH49" s="482">
        <f t="shared" si="3"/>
        <v>0</v>
      </c>
      <c r="AI49" s="482">
        <f t="shared" si="3"/>
        <v>0</v>
      </c>
      <c r="AJ49" s="482">
        <f t="shared" si="3"/>
        <v>0</v>
      </c>
      <c r="AK49" s="482">
        <f t="shared" si="3"/>
        <v>0</v>
      </c>
      <c r="AL49" s="482">
        <f t="shared" si="3"/>
        <v>0</v>
      </c>
      <c r="AM49" s="482">
        <f t="shared" si="3"/>
        <v>0</v>
      </c>
      <c r="AN49" s="482">
        <f t="shared" si="3"/>
        <v>0</v>
      </c>
      <c r="AO49" s="482">
        <f t="shared" si="3"/>
        <v>0</v>
      </c>
      <c r="AP49" s="482">
        <f t="shared" si="3"/>
        <v>0</v>
      </c>
      <c r="AQ49" s="483">
        <f t="shared" si="3"/>
        <v>0</v>
      </c>
    </row>
    <row r="50" spans="1:44" s="242" customFormat="1" x14ac:dyDescent="0.3">
      <c r="B50" s="481" t="s">
        <v>142</v>
      </c>
      <c r="C50" s="482"/>
      <c r="D50" s="482">
        <f t="shared" ref="D50:AQ50" si="4">+SUM(D87:D88)*(1-$H$8)</f>
        <v>0</v>
      </c>
      <c r="E50" s="482">
        <f t="shared" si="4"/>
        <v>0</v>
      </c>
      <c r="F50" s="482">
        <f t="shared" si="4"/>
        <v>0</v>
      </c>
      <c r="G50" s="482">
        <f t="shared" si="4"/>
        <v>0</v>
      </c>
      <c r="H50" s="482">
        <f t="shared" si="4"/>
        <v>0</v>
      </c>
      <c r="I50" s="482">
        <f t="shared" si="4"/>
        <v>0</v>
      </c>
      <c r="J50" s="482">
        <f t="shared" si="4"/>
        <v>0</v>
      </c>
      <c r="K50" s="482">
        <f t="shared" si="4"/>
        <v>0</v>
      </c>
      <c r="L50" s="482">
        <f t="shared" si="4"/>
        <v>0</v>
      </c>
      <c r="M50" s="482">
        <f t="shared" si="4"/>
        <v>0</v>
      </c>
      <c r="N50" s="482">
        <f t="shared" si="4"/>
        <v>0</v>
      </c>
      <c r="O50" s="482">
        <f t="shared" si="4"/>
        <v>0</v>
      </c>
      <c r="P50" s="482">
        <f t="shared" si="4"/>
        <v>0</v>
      </c>
      <c r="Q50" s="482">
        <f t="shared" si="4"/>
        <v>0</v>
      </c>
      <c r="R50" s="482">
        <f t="shared" si="4"/>
        <v>0</v>
      </c>
      <c r="S50" s="482">
        <f t="shared" si="4"/>
        <v>0</v>
      </c>
      <c r="T50" s="482">
        <f t="shared" si="4"/>
        <v>0</v>
      </c>
      <c r="U50" s="482">
        <f t="shared" si="4"/>
        <v>0</v>
      </c>
      <c r="V50" s="482">
        <f t="shared" si="4"/>
        <v>0</v>
      </c>
      <c r="W50" s="482">
        <f t="shared" si="4"/>
        <v>0</v>
      </c>
      <c r="X50" s="482">
        <f t="shared" si="4"/>
        <v>0</v>
      </c>
      <c r="Y50" s="482">
        <f t="shared" si="4"/>
        <v>0</v>
      </c>
      <c r="Z50" s="482">
        <f t="shared" si="4"/>
        <v>0</v>
      </c>
      <c r="AA50" s="482">
        <f t="shared" si="4"/>
        <v>0</v>
      </c>
      <c r="AB50" s="482">
        <f t="shared" si="4"/>
        <v>0</v>
      </c>
      <c r="AC50" s="482">
        <f t="shared" si="4"/>
        <v>0</v>
      </c>
      <c r="AD50" s="482">
        <f t="shared" si="4"/>
        <v>0</v>
      </c>
      <c r="AE50" s="482">
        <f t="shared" si="4"/>
        <v>0</v>
      </c>
      <c r="AF50" s="482">
        <f t="shared" si="4"/>
        <v>0</v>
      </c>
      <c r="AG50" s="482">
        <f t="shared" si="4"/>
        <v>0</v>
      </c>
      <c r="AH50" s="482">
        <f t="shared" si="4"/>
        <v>0</v>
      </c>
      <c r="AI50" s="482">
        <f t="shared" si="4"/>
        <v>0</v>
      </c>
      <c r="AJ50" s="482">
        <f t="shared" si="4"/>
        <v>0</v>
      </c>
      <c r="AK50" s="482">
        <f t="shared" si="4"/>
        <v>0</v>
      </c>
      <c r="AL50" s="482">
        <f t="shared" si="4"/>
        <v>0</v>
      </c>
      <c r="AM50" s="482">
        <f t="shared" si="4"/>
        <v>0</v>
      </c>
      <c r="AN50" s="482">
        <f t="shared" si="4"/>
        <v>0</v>
      </c>
      <c r="AO50" s="482">
        <f t="shared" si="4"/>
        <v>0</v>
      </c>
      <c r="AP50" s="482">
        <f t="shared" si="4"/>
        <v>0</v>
      </c>
      <c r="AQ50" s="483">
        <f t="shared" si="4"/>
        <v>0</v>
      </c>
    </row>
    <row r="51" spans="1:44" x14ac:dyDescent="0.3">
      <c r="A51" s="369"/>
      <c r="B51" s="352" t="s">
        <v>153</v>
      </c>
      <c r="C51" s="479"/>
      <c r="D51" s="479">
        <f t="shared" ref="D51:AQ51" si="5">(IF(D71=1,1,0)-D178*$H$14*$H$6)*$H$13*$C$13*$H$12</f>
        <v>0</v>
      </c>
      <c r="E51" s="479">
        <f t="shared" si="5"/>
        <v>0</v>
      </c>
      <c r="F51" s="479">
        <f t="shared" si="5"/>
        <v>0</v>
      </c>
      <c r="G51" s="479">
        <f t="shared" si="5"/>
        <v>0</v>
      </c>
      <c r="H51" s="479">
        <f t="shared" si="5"/>
        <v>0</v>
      </c>
      <c r="I51" s="479">
        <f t="shared" si="5"/>
        <v>0</v>
      </c>
      <c r="J51" s="479">
        <f t="shared" si="5"/>
        <v>0</v>
      </c>
      <c r="K51" s="479">
        <f t="shared" si="5"/>
        <v>0</v>
      </c>
      <c r="L51" s="479">
        <f t="shared" si="5"/>
        <v>0</v>
      </c>
      <c r="M51" s="479">
        <f t="shared" si="5"/>
        <v>0</v>
      </c>
      <c r="N51" s="479">
        <f t="shared" si="5"/>
        <v>0</v>
      </c>
      <c r="O51" s="479">
        <f t="shared" si="5"/>
        <v>0</v>
      </c>
      <c r="P51" s="479">
        <f t="shared" si="5"/>
        <v>0</v>
      </c>
      <c r="Q51" s="479">
        <f t="shared" si="5"/>
        <v>0</v>
      </c>
      <c r="R51" s="479">
        <f t="shared" si="5"/>
        <v>0</v>
      </c>
      <c r="S51" s="479">
        <f t="shared" si="5"/>
        <v>0</v>
      </c>
      <c r="T51" s="479">
        <f t="shared" si="5"/>
        <v>0</v>
      </c>
      <c r="U51" s="479">
        <f t="shared" si="5"/>
        <v>0</v>
      </c>
      <c r="V51" s="479">
        <f t="shared" si="5"/>
        <v>0</v>
      </c>
      <c r="W51" s="479">
        <f t="shared" si="5"/>
        <v>0</v>
      </c>
      <c r="X51" s="479">
        <f t="shared" si="5"/>
        <v>0</v>
      </c>
      <c r="Y51" s="479">
        <f t="shared" si="5"/>
        <v>0</v>
      </c>
      <c r="Z51" s="479">
        <f t="shared" si="5"/>
        <v>0</v>
      </c>
      <c r="AA51" s="479">
        <f t="shared" si="5"/>
        <v>0</v>
      </c>
      <c r="AB51" s="479">
        <f t="shared" si="5"/>
        <v>0</v>
      </c>
      <c r="AC51" s="479">
        <f t="shared" si="5"/>
        <v>0</v>
      </c>
      <c r="AD51" s="479">
        <f t="shared" si="5"/>
        <v>0</v>
      </c>
      <c r="AE51" s="479">
        <f t="shared" si="5"/>
        <v>0</v>
      </c>
      <c r="AF51" s="479">
        <f t="shared" si="5"/>
        <v>0</v>
      </c>
      <c r="AG51" s="479">
        <f t="shared" si="5"/>
        <v>0</v>
      </c>
      <c r="AH51" s="479">
        <f t="shared" si="5"/>
        <v>0</v>
      </c>
      <c r="AI51" s="479">
        <f t="shared" si="5"/>
        <v>0</v>
      </c>
      <c r="AJ51" s="479">
        <f t="shared" si="5"/>
        <v>0</v>
      </c>
      <c r="AK51" s="479">
        <f t="shared" si="5"/>
        <v>0</v>
      </c>
      <c r="AL51" s="479">
        <f t="shared" si="5"/>
        <v>0</v>
      </c>
      <c r="AM51" s="479">
        <f t="shared" si="5"/>
        <v>0</v>
      </c>
      <c r="AN51" s="479">
        <f t="shared" si="5"/>
        <v>0</v>
      </c>
      <c r="AO51" s="479">
        <f t="shared" si="5"/>
        <v>0</v>
      </c>
      <c r="AP51" s="479">
        <f t="shared" si="5"/>
        <v>0</v>
      </c>
      <c r="AQ51" s="480">
        <f t="shared" si="5"/>
        <v>0</v>
      </c>
    </row>
    <row r="52" spans="1:44" x14ac:dyDescent="0.3">
      <c r="A52" s="369"/>
      <c r="B52" s="352" t="s">
        <v>238</v>
      </c>
      <c r="C52" s="479"/>
      <c r="D52" s="479">
        <f t="shared" ref="D52:AQ52" si="6">D80*(1-$H$8)</f>
        <v>-5648.3450980392154</v>
      </c>
      <c r="E52" s="479">
        <f t="shared" si="6"/>
        <v>-5761.3119999999999</v>
      </c>
      <c r="F52" s="479">
        <f t="shared" si="6"/>
        <v>-5876.5382399999999</v>
      </c>
      <c r="G52" s="479">
        <f t="shared" si="6"/>
        <v>-5994.0690048000006</v>
      </c>
      <c r="H52" s="479">
        <f t="shared" si="6"/>
        <v>-6113.9503848960003</v>
      </c>
      <c r="I52" s="479">
        <f t="shared" si="6"/>
        <v>-6236.2293925939202</v>
      </c>
      <c r="J52" s="479">
        <f t="shared" si="6"/>
        <v>-6360.9539804457972</v>
      </c>
      <c r="K52" s="479">
        <f t="shared" si="6"/>
        <v>-6488.1730600547144</v>
      </c>
      <c r="L52" s="479">
        <f t="shared" si="6"/>
        <v>-6617.9365212558096</v>
      </c>
      <c r="M52" s="479">
        <f t="shared" si="6"/>
        <v>-6750.2952516809246</v>
      </c>
      <c r="N52" s="479">
        <f t="shared" si="6"/>
        <v>-6885.3011567145422</v>
      </c>
      <c r="O52" s="479">
        <f t="shared" si="6"/>
        <v>-7023.0071798488334</v>
      </c>
      <c r="P52" s="479">
        <f t="shared" si="6"/>
        <v>-7163.4673234458105</v>
      </c>
      <c r="Q52" s="479">
        <f t="shared" si="6"/>
        <v>-7306.7366699147269</v>
      </c>
      <c r="R52" s="479">
        <f t="shared" si="6"/>
        <v>-7452.8714033130191</v>
      </c>
      <c r="S52" s="479">
        <f t="shared" si="6"/>
        <v>-7601.9288313792822</v>
      </c>
      <c r="T52" s="479">
        <f t="shared" si="6"/>
        <v>-7753.967408006868</v>
      </c>
      <c r="U52" s="479">
        <f t="shared" si="6"/>
        <v>-7909.0467561670048</v>
      </c>
      <c r="V52" s="479">
        <f t="shared" si="6"/>
        <v>-8067.2276912903444</v>
      </c>
      <c r="W52" s="479">
        <f t="shared" si="6"/>
        <v>-8228.5722451161528</v>
      </c>
      <c r="X52" s="479">
        <f t="shared" si="6"/>
        <v>0</v>
      </c>
      <c r="Y52" s="479">
        <f t="shared" si="6"/>
        <v>0</v>
      </c>
      <c r="Z52" s="479">
        <f t="shared" si="6"/>
        <v>0</v>
      </c>
      <c r="AA52" s="479">
        <f t="shared" si="6"/>
        <v>0</v>
      </c>
      <c r="AB52" s="479">
        <f t="shared" si="6"/>
        <v>0</v>
      </c>
      <c r="AC52" s="479">
        <f t="shared" si="6"/>
        <v>0</v>
      </c>
      <c r="AD52" s="479">
        <f t="shared" si="6"/>
        <v>0</v>
      </c>
      <c r="AE52" s="479">
        <f t="shared" si="6"/>
        <v>0</v>
      </c>
      <c r="AF52" s="479">
        <f t="shared" si="6"/>
        <v>0</v>
      </c>
      <c r="AG52" s="479">
        <f t="shared" si="6"/>
        <v>0</v>
      </c>
      <c r="AH52" s="479">
        <f t="shared" si="6"/>
        <v>0</v>
      </c>
      <c r="AI52" s="479">
        <f t="shared" si="6"/>
        <v>0</v>
      </c>
      <c r="AJ52" s="479">
        <f t="shared" si="6"/>
        <v>0</v>
      </c>
      <c r="AK52" s="479">
        <f t="shared" si="6"/>
        <v>0</v>
      </c>
      <c r="AL52" s="479">
        <f t="shared" si="6"/>
        <v>0</v>
      </c>
      <c r="AM52" s="479">
        <f t="shared" si="6"/>
        <v>0</v>
      </c>
      <c r="AN52" s="479">
        <f t="shared" si="6"/>
        <v>0</v>
      </c>
      <c r="AO52" s="479">
        <f t="shared" si="6"/>
        <v>0</v>
      </c>
      <c r="AP52" s="479">
        <f t="shared" si="6"/>
        <v>0</v>
      </c>
      <c r="AQ52" s="480">
        <f t="shared" si="6"/>
        <v>0</v>
      </c>
    </row>
    <row r="53" spans="1:44" x14ac:dyDescent="0.3">
      <c r="A53" s="369"/>
      <c r="B53" s="352" t="s">
        <v>185</v>
      </c>
      <c r="C53" s="479"/>
      <c r="D53" s="479">
        <f t="shared" ref="D53:AQ53" si="7">D81*(1-$H$8)</f>
        <v>0</v>
      </c>
      <c r="E53" s="479">
        <f t="shared" si="7"/>
        <v>0</v>
      </c>
      <c r="F53" s="479">
        <f t="shared" si="7"/>
        <v>-6498.2217196341899</v>
      </c>
      <c r="G53" s="479">
        <f t="shared" si="7"/>
        <v>-6628.1861540268737</v>
      </c>
      <c r="H53" s="479">
        <f t="shared" si="7"/>
        <v>-6760.7498771074115</v>
      </c>
      <c r="I53" s="479">
        <f t="shared" si="7"/>
        <v>-6895.9648746495604</v>
      </c>
      <c r="J53" s="479">
        <f t="shared" si="7"/>
        <v>-7033.8841721425506</v>
      </c>
      <c r="K53" s="479">
        <f t="shared" si="7"/>
        <v>-7174.5618555854016</v>
      </c>
      <c r="L53" s="479">
        <f t="shared" si="7"/>
        <v>-7318.0530926971105</v>
      </c>
      <c r="M53" s="479">
        <f t="shared" si="7"/>
        <v>-7464.414154551052</v>
      </c>
      <c r="N53" s="479">
        <f t="shared" si="7"/>
        <v>-7613.7024376420723</v>
      </c>
      <c r="O53" s="479">
        <f t="shared" si="7"/>
        <v>-7765.9764863949149</v>
      </c>
      <c r="P53" s="479">
        <f t="shared" si="7"/>
        <v>-7921.296016122812</v>
      </c>
      <c r="Q53" s="479">
        <f t="shared" si="7"/>
        <v>-8079.7219364452685</v>
      </c>
      <c r="R53" s="479">
        <f t="shared" si="7"/>
        <v>-8241.3163751741722</v>
      </c>
      <c r="S53" s="479">
        <f t="shared" si="7"/>
        <v>-8406.1427026776582</v>
      </c>
      <c r="T53" s="479">
        <f t="shared" si="7"/>
        <v>-8574.2655567312104</v>
      </c>
      <c r="U53" s="479">
        <f t="shared" si="7"/>
        <v>-8745.7508678658342</v>
      </c>
      <c r="V53" s="479">
        <f t="shared" si="7"/>
        <v>-8920.6658852231503</v>
      </c>
      <c r="W53" s="479">
        <f t="shared" si="7"/>
        <v>-9099.0792029276145</v>
      </c>
      <c r="X53" s="479">
        <f t="shared" si="7"/>
        <v>0</v>
      </c>
      <c r="Y53" s="479">
        <f t="shared" si="7"/>
        <v>0</v>
      </c>
      <c r="Z53" s="479">
        <f t="shared" si="7"/>
        <v>0</v>
      </c>
      <c r="AA53" s="479">
        <f t="shared" si="7"/>
        <v>0</v>
      </c>
      <c r="AB53" s="479">
        <f t="shared" si="7"/>
        <v>0</v>
      </c>
      <c r="AC53" s="479">
        <f t="shared" si="7"/>
        <v>0</v>
      </c>
      <c r="AD53" s="479">
        <f t="shared" si="7"/>
        <v>0</v>
      </c>
      <c r="AE53" s="479">
        <f t="shared" si="7"/>
        <v>0</v>
      </c>
      <c r="AF53" s="479">
        <f t="shared" si="7"/>
        <v>0</v>
      </c>
      <c r="AG53" s="479">
        <f t="shared" si="7"/>
        <v>0</v>
      </c>
      <c r="AH53" s="479">
        <f t="shared" si="7"/>
        <v>0</v>
      </c>
      <c r="AI53" s="479">
        <f t="shared" si="7"/>
        <v>0</v>
      </c>
      <c r="AJ53" s="479">
        <f t="shared" si="7"/>
        <v>0</v>
      </c>
      <c r="AK53" s="479">
        <f t="shared" si="7"/>
        <v>0</v>
      </c>
      <c r="AL53" s="479">
        <f t="shared" si="7"/>
        <v>0</v>
      </c>
      <c r="AM53" s="479">
        <f t="shared" si="7"/>
        <v>0</v>
      </c>
      <c r="AN53" s="479">
        <f t="shared" si="7"/>
        <v>0</v>
      </c>
      <c r="AO53" s="479">
        <f t="shared" si="7"/>
        <v>0</v>
      </c>
      <c r="AP53" s="479">
        <f t="shared" si="7"/>
        <v>0</v>
      </c>
      <c r="AQ53" s="480">
        <f t="shared" si="7"/>
        <v>0</v>
      </c>
    </row>
    <row r="54" spans="1:44" x14ac:dyDescent="0.3">
      <c r="A54" s="369"/>
      <c r="B54" s="352" t="s">
        <v>188</v>
      </c>
      <c r="C54" s="479"/>
      <c r="D54" s="479">
        <f t="shared" ref="D54:AQ54" si="8">D82*(1-$H$8)</f>
        <v>-8015.0016941176482</v>
      </c>
      <c r="E54" s="479">
        <f t="shared" si="8"/>
        <v>-8175.3017280000004</v>
      </c>
      <c r="F54" s="479">
        <f t="shared" si="8"/>
        <v>-8338.8077625599999</v>
      </c>
      <c r="G54" s="479">
        <f t="shared" si="8"/>
        <v>-8505.5839178112001</v>
      </c>
      <c r="H54" s="479">
        <f t="shared" si="8"/>
        <v>-8675.6955961674248</v>
      </c>
      <c r="I54" s="479">
        <f t="shared" si="8"/>
        <v>-8849.2095080907729</v>
      </c>
      <c r="J54" s="479">
        <f t="shared" si="8"/>
        <v>-9026.1936982525858</v>
      </c>
      <c r="K54" s="479">
        <f t="shared" si="8"/>
        <v>-9206.7175722176398</v>
      </c>
      <c r="L54" s="479">
        <f t="shared" si="8"/>
        <v>-9390.8519236619923</v>
      </c>
      <c r="M54" s="479">
        <f t="shared" si="8"/>
        <v>-9578.6689621352325</v>
      </c>
      <c r="N54" s="479">
        <f t="shared" si="8"/>
        <v>-9770.2423413779343</v>
      </c>
      <c r="O54" s="479">
        <f t="shared" si="8"/>
        <v>-9965.6471882054957</v>
      </c>
      <c r="P54" s="479">
        <f t="shared" si="8"/>
        <v>-10164.960131969605</v>
      </c>
      <c r="Q54" s="479">
        <f t="shared" si="8"/>
        <v>-10368.259334608998</v>
      </c>
      <c r="R54" s="479">
        <f t="shared" si="8"/>
        <v>-10575.624521301175</v>
      </c>
      <c r="S54" s="479">
        <f t="shared" si="8"/>
        <v>-10787.1370117272</v>
      </c>
      <c r="T54" s="479">
        <f t="shared" si="8"/>
        <v>-11002.879751961746</v>
      </c>
      <c r="U54" s="479">
        <f t="shared" si="8"/>
        <v>-11222.93734700098</v>
      </c>
      <c r="V54" s="479">
        <f t="shared" si="8"/>
        <v>-11447.396093940997</v>
      </c>
      <c r="W54" s="479">
        <f t="shared" si="8"/>
        <v>-11676.344015819819</v>
      </c>
      <c r="X54" s="479">
        <f t="shared" si="8"/>
        <v>0</v>
      </c>
      <c r="Y54" s="479">
        <f t="shared" si="8"/>
        <v>0</v>
      </c>
      <c r="Z54" s="479">
        <f t="shared" si="8"/>
        <v>0</v>
      </c>
      <c r="AA54" s="479">
        <f t="shared" si="8"/>
        <v>0</v>
      </c>
      <c r="AB54" s="479">
        <f t="shared" si="8"/>
        <v>0</v>
      </c>
      <c r="AC54" s="479">
        <f t="shared" si="8"/>
        <v>0</v>
      </c>
      <c r="AD54" s="479">
        <f t="shared" si="8"/>
        <v>0</v>
      </c>
      <c r="AE54" s="479">
        <f t="shared" si="8"/>
        <v>0</v>
      </c>
      <c r="AF54" s="479">
        <f t="shared" si="8"/>
        <v>0</v>
      </c>
      <c r="AG54" s="479">
        <f t="shared" si="8"/>
        <v>0</v>
      </c>
      <c r="AH54" s="479">
        <f t="shared" si="8"/>
        <v>0</v>
      </c>
      <c r="AI54" s="479">
        <f t="shared" si="8"/>
        <v>0</v>
      </c>
      <c r="AJ54" s="479">
        <f t="shared" si="8"/>
        <v>0</v>
      </c>
      <c r="AK54" s="479">
        <f t="shared" si="8"/>
        <v>0</v>
      </c>
      <c r="AL54" s="479">
        <f t="shared" si="8"/>
        <v>0</v>
      </c>
      <c r="AM54" s="479">
        <f t="shared" si="8"/>
        <v>0</v>
      </c>
      <c r="AN54" s="479">
        <f t="shared" si="8"/>
        <v>0</v>
      </c>
      <c r="AO54" s="479">
        <f t="shared" si="8"/>
        <v>0</v>
      </c>
      <c r="AP54" s="479">
        <f t="shared" si="8"/>
        <v>0</v>
      </c>
      <c r="AQ54" s="480">
        <f t="shared" si="8"/>
        <v>0</v>
      </c>
    </row>
    <row r="55" spans="1:44" s="242" customFormat="1" x14ac:dyDescent="0.3">
      <c r="B55" s="481" t="s">
        <v>105</v>
      </c>
      <c r="C55" s="482"/>
      <c r="D55" s="482">
        <f t="shared" ref="D55:AQ55" si="9">D83*(1-$H$8)</f>
        <v>0</v>
      </c>
      <c r="E55" s="482">
        <f t="shared" si="9"/>
        <v>0</v>
      </c>
      <c r="F55" s="482">
        <f t="shared" si="9"/>
        <v>0</v>
      </c>
      <c r="G55" s="482">
        <f t="shared" si="9"/>
        <v>0</v>
      </c>
      <c r="H55" s="482">
        <f t="shared" si="9"/>
        <v>0</v>
      </c>
      <c r="I55" s="482">
        <f t="shared" si="9"/>
        <v>0</v>
      </c>
      <c r="J55" s="482">
        <f t="shared" si="9"/>
        <v>0</v>
      </c>
      <c r="K55" s="482">
        <f t="shared" si="9"/>
        <v>0</v>
      </c>
      <c r="L55" s="482">
        <f t="shared" si="9"/>
        <v>0</v>
      </c>
      <c r="M55" s="482">
        <f t="shared" si="9"/>
        <v>0</v>
      </c>
      <c r="N55" s="482">
        <f t="shared" si="9"/>
        <v>0</v>
      </c>
      <c r="O55" s="482">
        <f t="shared" si="9"/>
        <v>0</v>
      </c>
      <c r="P55" s="482">
        <f t="shared" si="9"/>
        <v>0</v>
      </c>
      <c r="Q55" s="482">
        <f t="shared" si="9"/>
        <v>0</v>
      </c>
      <c r="R55" s="482">
        <f t="shared" si="9"/>
        <v>0</v>
      </c>
      <c r="S55" s="482">
        <f t="shared" si="9"/>
        <v>0</v>
      </c>
      <c r="T55" s="482">
        <f t="shared" si="9"/>
        <v>0</v>
      </c>
      <c r="U55" s="482">
        <f t="shared" si="9"/>
        <v>0</v>
      </c>
      <c r="V55" s="482">
        <f t="shared" si="9"/>
        <v>0</v>
      </c>
      <c r="W55" s="482">
        <f t="shared" si="9"/>
        <v>0</v>
      </c>
      <c r="X55" s="482">
        <f t="shared" si="9"/>
        <v>0</v>
      </c>
      <c r="Y55" s="482">
        <f t="shared" si="9"/>
        <v>0</v>
      </c>
      <c r="Z55" s="482">
        <f t="shared" si="9"/>
        <v>0</v>
      </c>
      <c r="AA55" s="482">
        <f t="shared" si="9"/>
        <v>0</v>
      </c>
      <c r="AB55" s="482">
        <f t="shared" si="9"/>
        <v>0</v>
      </c>
      <c r="AC55" s="482">
        <f t="shared" si="9"/>
        <v>0</v>
      </c>
      <c r="AD55" s="482">
        <f t="shared" si="9"/>
        <v>0</v>
      </c>
      <c r="AE55" s="482">
        <f t="shared" si="9"/>
        <v>0</v>
      </c>
      <c r="AF55" s="482">
        <f t="shared" si="9"/>
        <v>0</v>
      </c>
      <c r="AG55" s="482">
        <f t="shared" si="9"/>
        <v>0</v>
      </c>
      <c r="AH55" s="482">
        <f t="shared" si="9"/>
        <v>0</v>
      </c>
      <c r="AI55" s="482">
        <f t="shared" si="9"/>
        <v>0</v>
      </c>
      <c r="AJ55" s="482">
        <f t="shared" si="9"/>
        <v>0</v>
      </c>
      <c r="AK55" s="482">
        <f t="shared" si="9"/>
        <v>0</v>
      </c>
      <c r="AL55" s="482">
        <f t="shared" si="9"/>
        <v>0</v>
      </c>
      <c r="AM55" s="482">
        <f t="shared" si="9"/>
        <v>0</v>
      </c>
      <c r="AN55" s="482">
        <f t="shared" si="9"/>
        <v>0</v>
      </c>
      <c r="AO55" s="482">
        <f t="shared" si="9"/>
        <v>0</v>
      </c>
      <c r="AP55" s="482">
        <f t="shared" si="9"/>
        <v>0</v>
      </c>
      <c r="AQ55" s="483">
        <f t="shared" si="9"/>
        <v>0</v>
      </c>
    </row>
    <row r="56" spans="1:44" s="242" customFormat="1" x14ac:dyDescent="0.3">
      <c r="B56" s="481" t="s">
        <v>239</v>
      </c>
      <c r="C56" s="482"/>
      <c r="D56" s="482">
        <f t="shared" ref="D56:AQ56" si="10">D84*(1-$H$8)</f>
        <v>0</v>
      </c>
      <c r="E56" s="482">
        <f t="shared" si="10"/>
        <v>0</v>
      </c>
      <c r="F56" s="482">
        <f t="shared" si="10"/>
        <v>0</v>
      </c>
      <c r="G56" s="482">
        <f t="shared" si="10"/>
        <v>0</v>
      </c>
      <c r="H56" s="482">
        <f t="shared" si="10"/>
        <v>0</v>
      </c>
      <c r="I56" s="482">
        <f t="shared" si="10"/>
        <v>0</v>
      </c>
      <c r="J56" s="482">
        <f t="shared" si="10"/>
        <v>0</v>
      </c>
      <c r="K56" s="482">
        <f t="shared" si="10"/>
        <v>0</v>
      </c>
      <c r="L56" s="482">
        <f t="shared" si="10"/>
        <v>0</v>
      </c>
      <c r="M56" s="482">
        <f t="shared" si="10"/>
        <v>0</v>
      </c>
      <c r="N56" s="482">
        <f t="shared" si="10"/>
        <v>0</v>
      </c>
      <c r="O56" s="482">
        <f t="shared" si="10"/>
        <v>0</v>
      </c>
      <c r="P56" s="482">
        <f t="shared" si="10"/>
        <v>0</v>
      </c>
      <c r="Q56" s="482">
        <f t="shared" si="10"/>
        <v>0</v>
      </c>
      <c r="R56" s="482">
        <f t="shared" si="10"/>
        <v>0</v>
      </c>
      <c r="S56" s="482">
        <f t="shared" si="10"/>
        <v>0</v>
      </c>
      <c r="T56" s="482">
        <f t="shared" si="10"/>
        <v>0</v>
      </c>
      <c r="U56" s="482">
        <f t="shared" si="10"/>
        <v>0</v>
      </c>
      <c r="V56" s="482">
        <f t="shared" si="10"/>
        <v>0</v>
      </c>
      <c r="W56" s="482">
        <f t="shared" si="10"/>
        <v>0</v>
      </c>
      <c r="X56" s="482">
        <f t="shared" si="10"/>
        <v>0</v>
      </c>
      <c r="Y56" s="482">
        <f t="shared" si="10"/>
        <v>0</v>
      </c>
      <c r="Z56" s="482">
        <f t="shared" si="10"/>
        <v>0</v>
      </c>
      <c r="AA56" s="482">
        <f t="shared" si="10"/>
        <v>0</v>
      </c>
      <c r="AB56" s="482">
        <f t="shared" si="10"/>
        <v>0</v>
      </c>
      <c r="AC56" s="482">
        <f t="shared" si="10"/>
        <v>0</v>
      </c>
      <c r="AD56" s="482">
        <f t="shared" si="10"/>
        <v>0</v>
      </c>
      <c r="AE56" s="482">
        <f t="shared" si="10"/>
        <v>0</v>
      </c>
      <c r="AF56" s="482">
        <f t="shared" si="10"/>
        <v>0</v>
      </c>
      <c r="AG56" s="482">
        <f t="shared" si="10"/>
        <v>0</v>
      </c>
      <c r="AH56" s="482">
        <f t="shared" si="10"/>
        <v>0</v>
      </c>
      <c r="AI56" s="482">
        <f t="shared" si="10"/>
        <v>0</v>
      </c>
      <c r="AJ56" s="482">
        <f t="shared" si="10"/>
        <v>0</v>
      </c>
      <c r="AK56" s="482">
        <f t="shared" si="10"/>
        <v>0</v>
      </c>
      <c r="AL56" s="482">
        <f t="shared" si="10"/>
        <v>0</v>
      </c>
      <c r="AM56" s="482">
        <f t="shared" si="10"/>
        <v>0</v>
      </c>
      <c r="AN56" s="482">
        <f t="shared" si="10"/>
        <v>0</v>
      </c>
      <c r="AO56" s="482">
        <f t="shared" si="10"/>
        <v>0</v>
      </c>
      <c r="AP56" s="482">
        <f t="shared" si="10"/>
        <v>0</v>
      </c>
      <c r="AQ56" s="483">
        <f t="shared" si="10"/>
        <v>0</v>
      </c>
    </row>
    <row r="57" spans="1:44" s="242" customFormat="1" x14ac:dyDescent="0.3">
      <c r="B57" s="481" t="s">
        <v>138</v>
      </c>
      <c r="C57" s="482"/>
      <c r="D57" s="482">
        <f t="shared" ref="D57:AQ57" si="11">(D85)*(1-$H$8)</f>
        <v>0</v>
      </c>
      <c r="E57" s="482">
        <f t="shared" si="11"/>
        <v>0</v>
      </c>
      <c r="F57" s="482">
        <f t="shared" si="11"/>
        <v>0</v>
      </c>
      <c r="G57" s="482">
        <f t="shared" si="11"/>
        <v>0</v>
      </c>
      <c r="H57" s="482">
        <f t="shared" si="11"/>
        <v>0</v>
      </c>
      <c r="I57" s="482">
        <f t="shared" si="11"/>
        <v>0</v>
      </c>
      <c r="J57" s="482">
        <f t="shared" si="11"/>
        <v>0</v>
      </c>
      <c r="K57" s="482">
        <f t="shared" si="11"/>
        <v>0</v>
      </c>
      <c r="L57" s="482">
        <f t="shared" si="11"/>
        <v>0</v>
      </c>
      <c r="M57" s="482">
        <f t="shared" si="11"/>
        <v>0</v>
      </c>
      <c r="N57" s="482">
        <f t="shared" si="11"/>
        <v>0</v>
      </c>
      <c r="O57" s="482">
        <f t="shared" si="11"/>
        <v>0</v>
      </c>
      <c r="P57" s="482">
        <f t="shared" si="11"/>
        <v>0</v>
      </c>
      <c r="Q57" s="482">
        <f t="shared" si="11"/>
        <v>0</v>
      </c>
      <c r="R57" s="482">
        <f t="shared" si="11"/>
        <v>0</v>
      </c>
      <c r="S57" s="482">
        <f t="shared" si="11"/>
        <v>0</v>
      </c>
      <c r="T57" s="482">
        <f t="shared" si="11"/>
        <v>0</v>
      </c>
      <c r="U57" s="482">
        <f t="shared" si="11"/>
        <v>0</v>
      </c>
      <c r="V57" s="482">
        <f t="shared" si="11"/>
        <v>0</v>
      </c>
      <c r="W57" s="482">
        <f t="shared" si="11"/>
        <v>0</v>
      </c>
      <c r="X57" s="482">
        <f t="shared" si="11"/>
        <v>0</v>
      </c>
      <c r="Y57" s="482">
        <f t="shared" si="11"/>
        <v>0</v>
      </c>
      <c r="Z57" s="482">
        <f t="shared" si="11"/>
        <v>0</v>
      </c>
      <c r="AA57" s="482">
        <f t="shared" si="11"/>
        <v>0</v>
      </c>
      <c r="AB57" s="482">
        <f t="shared" si="11"/>
        <v>0</v>
      </c>
      <c r="AC57" s="482">
        <f t="shared" si="11"/>
        <v>0</v>
      </c>
      <c r="AD57" s="482">
        <f t="shared" si="11"/>
        <v>0</v>
      </c>
      <c r="AE57" s="482">
        <f t="shared" si="11"/>
        <v>0</v>
      </c>
      <c r="AF57" s="482">
        <f t="shared" si="11"/>
        <v>0</v>
      </c>
      <c r="AG57" s="482">
        <f t="shared" si="11"/>
        <v>0</v>
      </c>
      <c r="AH57" s="482">
        <f t="shared" si="11"/>
        <v>0</v>
      </c>
      <c r="AI57" s="482">
        <f t="shared" si="11"/>
        <v>0</v>
      </c>
      <c r="AJ57" s="482">
        <f t="shared" si="11"/>
        <v>0</v>
      </c>
      <c r="AK57" s="482">
        <f t="shared" si="11"/>
        <v>0</v>
      </c>
      <c r="AL57" s="482">
        <f t="shared" si="11"/>
        <v>0</v>
      </c>
      <c r="AM57" s="482">
        <f t="shared" si="11"/>
        <v>0</v>
      </c>
      <c r="AN57" s="482">
        <f t="shared" si="11"/>
        <v>0</v>
      </c>
      <c r="AO57" s="482">
        <f t="shared" si="11"/>
        <v>0</v>
      </c>
      <c r="AP57" s="482">
        <f t="shared" si="11"/>
        <v>0</v>
      </c>
      <c r="AQ57" s="483">
        <f t="shared" si="11"/>
        <v>0</v>
      </c>
    </row>
    <row r="58" spans="1:44" s="242" customFormat="1" x14ac:dyDescent="0.3">
      <c r="B58" s="481" t="s">
        <v>240</v>
      </c>
      <c r="C58" s="482"/>
      <c r="D58" s="482">
        <f t="shared" ref="D58:AQ58" si="12">(D86)*(1-$H$8)</f>
        <v>0</v>
      </c>
      <c r="E58" s="482">
        <f t="shared" si="12"/>
        <v>0</v>
      </c>
      <c r="F58" s="482">
        <f t="shared" si="12"/>
        <v>0</v>
      </c>
      <c r="G58" s="482">
        <f t="shared" si="12"/>
        <v>0</v>
      </c>
      <c r="H58" s="482">
        <f t="shared" si="12"/>
        <v>0</v>
      </c>
      <c r="I58" s="482">
        <f t="shared" si="12"/>
        <v>0</v>
      </c>
      <c r="J58" s="482">
        <f t="shared" si="12"/>
        <v>0</v>
      </c>
      <c r="K58" s="482">
        <f t="shared" si="12"/>
        <v>0</v>
      </c>
      <c r="L58" s="482">
        <f t="shared" si="12"/>
        <v>0</v>
      </c>
      <c r="M58" s="482">
        <f t="shared" si="12"/>
        <v>0</v>
      </c>
      <c r="N58" s="482">
        <f t="shared" si="12"/>
        <v>0</v>
      </c>
      <c r="O58" s="482">
        <f t="shared" si="12"/>
        <v>0</v>
      </c>
      <c r="P58" s="482">
        <f t="shared" si="12"/>
        <v>0</v>
      </c>
      <c r="Q58" s="482">
        <f t="shared" si="12"/>
        <v>0</v>
      </c>
      <c r="R58" s="482">
        <f t="shared" si="12"/>
        <v>0</v>
      </c>
      <c r="S58" s="482">
        <f t="shared" si="12"/>
        <v>0</v>
      </c>
      <c r="T58" s="482">
        <f t="shared" si="12"/>
        <v>0</v>
      </c>
      <c r="U58" s="482">
        <f t="shared" si="12"/>
        <v>0</v>
      </c>
      <c r="V58" s="482">
        <f t="shared" si="12"/>
        <v>0</v>
      </c>
      <c r="W58" s="482">
        <f t="shared" si="12"/>
        <v>0</v>
      </c>
      <c r="X58" s="482">
        <f t="shared" si="12"/>
        <v>0</v>
      </c>
      <c r="Y58" s="482">
        <f t="shared" si="12"/>
        <v>0</v>
      </c>
      <c r="Z58" s="482">
        <f t="shared" si="12"/>
        <v>0</v>
      </c>
      <c r="AA58" s="482">
        <f t="shared" si="12"/>
        <v>0</v>
      </c>
      <c r="AB58" s="482">
        <f t="shared" si="12"/>
        <v>0</v>
      </c>
      <c r="AC58" s="482">
        <f t="shared" si="12"/>
        <v>0</v>
      </c>
      <c r="AD58" s="482">
        <f t="shared" si="12"/>
        <v>0</v>
      </c>
      <c r="AE58" s="482">
        <f t="shared" si="12"/>
        <v>0</v>
      </c>
      <c r="AF58" s="482">
        <f t="shared" si="12"/>
        <v>0</v>
      </c>
      <c r="AG58" s="482">
        <f t="shared" si="12"/>
        <v>0</v>
      </c>
      <c r="AH58" s="482">
        <f t="shared" si="12"/>
        <v>0</v>
      </c>
      <c r="AI58" s="482">
        <f t="shared" si="12"/>
        <v>0</v>
      </c>
      <c r="AJ58" s="482">
        <f t="shared" si="12"/>
        <v>0</v>
      </c>
      <c r="AK58" s="482">
        <f t="shared" si="12"/>
        <v>0</v>
      </c>
      <c r="AL58" s="482">
        <f t="shared" si="12"/>
        <v>0</v>
      </c>
      <c r="AM58" s="482">
        <f t="shared" si="12"/>
        <v>0</v>
      </c>
      <c r="AN58" s="482">
        <f t="shared" si="12"/>
        <v>0</v>
      </c>
      <c r="AO58" s="482">
        <f t="shared" si="12"/>
        <v>0</v>
      </c>
      <c r="AP58" s="482">
        <f t="shared" si="12"/>
        <v>0</v>
      </c>
      <c r="AQ58" s="483">
        <f t="shared" si="12"/>
        <v>0</v>
      </c>
    </row>
    <row r="59" spans="1:44" s="242" customFormat="1" x14ac:dyDescent="0.3">
      <c r="B59" s="484" t="s">
        <v>155</v>
      </c>
      <c r="C59" s="485"/>
      <c r="D59" s="485">
        <f t="shared" ref="D59:AQ59" si="13">IF(D71&lt;=$H$10,$H$9*(1+$H$11)^(D110)*D73,0)</f>
        <v>0</v>
      </c>
      <c r="E59" s="485">
        <f t="shared" si="13"/>
        <v>0</v>
      </c>
      <c r="F59" s="485">
        <f t="shared" si="13"/>
        <v>0</v>
      </c>
      <c r="G59" s="485">
        <f t="shared" si="13"/>
        <v>0</v>
      </c>
      <c r="H59" s="485">
        <f t="shared" si="13"/>
        <v>0</v>
      </c>
      <c r="I59" s="485">
        <f t="shared" si="13"/>
        <v>0</v>
      </c>
      <c r="J59" s="485">
        <f t="shared" si="13"/>
        <v>0</v>
      </c>
      <c r="K59" s="485">
        <f t="shared" si="13"/>
        <v>0</v>
      </c>
      <c r="L59" s="485">
        <f t="shared" si="13"/>
        <v>0</v>
      </c>
      <c r="M59" s="485">
        <f t="shared" si="13"/>
        <v>0</v>
      </c>
      <c r="N59" s="485">
        <f t="shared" si="13"/>
        <v>0</v>
      </c>
      <c r="O59" s="485">
        <f t="shared" si="13"/>
        <v>0</v>
      </c>
      <c r="P59" s="485">
        <f t="shared" si="13"/>
        <v>0</v>
      </c>
      <c r="Q59" s="485">
        <f t="shared" si="13"/>
        <v>0</v>
      </c>
      <c r="R59" s="485">
        <f t="shared" si="13"/>
        <v>0</v>
      </c>
      <c r="S59" s="485">
        <f t="shared" si="13"/>
        <v>0</v>
      </c>
      <c r="T59" s="485">
        <f t="shared" si="13"/>
        <v>0</v>
      </c>
      <c r="U59" s="485">
        <f t="shared" si="13"/>
        <v>0</v>
      </c>
      <c r="V59" s="485">
        <f t="shared" si="13"/>
        <v>0</v>
      </c>
      <c r="W59" s="485">
        <f t="shared" si="13"/>
        <v>0</v>
      </c>
      <c r="X59" s="485">
        <f t="shared" si="13"/>
        <v>0</v>
      </c>
      <c r="Y59" s="485">
        <f t="shared" si="13"/>
        <v>0</v>
      </c>
      <c r="Z59" s="485">
        <f t="shared" si="13"/>
        <v>0</v>
      </c>
      <c r="AA59" s="485">
        <f t="shared" si="13"/>
        <v>0</v>
      </c>
      <c r="AB59" s="485">
        <f t="shared" si="13"/>
        <v>0</v>
      </c>
      <c r="AC59" s="485">
        <f t="shared" si="13"/>
        <v>0</v>
      </c>
      <c r="AD59" s="485">
        <f t="shared" si="13"/>
        <v>0</v>
      </c>
      <c r="AE59" s="485">
        <f t="shared" si="13"/>
        <v>0</v>
      </c>
      <c r="AF59" s="485">
        <f t="shared" si="13"/>
        <v>0</v>
      </c>
      <c r="AG59" s="485">
        <f t="shared" si="13"/>
        <v>0</v>
      </c>
      <c r="AH59" s="485">
        <f t="shared" si="13"/>
        <v>0</v>
      </c>
      <c r="AI59" s="485">
        <f t="shared" si="13"/>
        <v>0</v>
      </c>
      <c r="AJ59" s="485">
        <f t="shared" si="13"/>
        <v>0</v>
      </c>
      <c r="AK59" s="485">
        <f t="shared" si="13"/>
        <v>0</v>
      </c>
      <c r="AL59" s="485">
        <f t="shared" si="13"/>
        <v>0</v>
      </c>
      <c r="AM59" s="485">
        <f t="shared" si="13"/>
        <v>0</v>
      </c>
      <c r="AN59" s="485">
        <f t="shared" si="13"/>
        <v>0</v>
      </c>
      <c r="AO59" s="485">
        <f t="shared" si="13"/>
        <v>0</v>
      </c>
      <c r="AP59" s="485">
        <f t="shared" si="13"/>
        <v>0</v>
      </c>
      <c r="AQ59" s="486">
        <f t="shared" si="13"/>
        <v>0</v>
      </c>
    </row>
    <row r="60" spans="1:44" s="1" customFormat="1" x14ac:dyDescent="0.3">
      <c r="B60" s="487" t="s">
        <v>140</v>
      </c>
      <c r="C60" s="479">
        <f t="shared" ref="C60:AQ60" si="14">SUM(C48:C59)</f>
        <v>-885000</v>
      </c>
      <c r="D60" s="479">
        <f t="shared" si="14"/>
        <v>14975.099595234078</v>
      </c>
      <c r="E60" s="479">
        <f t="shared" si="14"/>
        <v>46171.11720646864</v>
      </c>
      <c r="F60" s="479">
        <f t="shared" si="14"/>
        <v>17612.608644556014</v>
      </c>
      <c r="G60" s="479">
        <f t="shared" si="14"/>
        <v>1602.8715662296927</v>
      </c>
      <c r="H60" s="479">
        <f t="shared" si="14"/>
        <v>-9962.895827903998</v>
      </c>
      <c r="I60" s="479">
        <f t="shared" si="14"/>
        <v>-10553.223830419767</v>
      </c>
      <c r="J60" s="479">
        <f t="shared" si="14"/>
        <v>-11096.326040018874</v>
      </c>
      <c r="K60" s="479">
        <f t="shared" si="14"/>
        <v>-25523.247559665462</v>
      </c>
      <c r="L60" s="479">
        <f t="shared" si="14"/>
        <v>-39934.835606171051</v>
      </c>
      <c r="M60" s="479">
        <f t="shared" si="14"/>
        <v>-40555.782542559478</v>
      </c>
      <c r="N60" s="479">
        <f t="shared" si="14"/>
        <v>-41193.359222106774</v>
      </c>
      <c r="O60" s="479">
        <f t="shared" si="14"/>
        <v>-41848.097285515578</v>
      </c>
      <c r="P60" s="479">
        <f t="shared" si="14"/>
        <v>-42520.548415252051</v>
      </c>
      <c r="Q60" s="479">
        <f t="shared" si="14"/>
        <v>-43211.285181144754</v>
      </c>
      <c r="R60" s="479">
        <f t="shared" si="14"/>
        <v>-43920.901923919388</v>
      </c>
      <c r="S60" s="479">
        <f t="shared" si="14"/>
        <v>-44650.015678422409</v>
      </c>
      <c r="T60" s="479">
        <f t="shared" si="14"/>
        <v>-45399.267138367533</v>
      </c>
      <c r="U60" s="479">
        <f t="shared" si="14"/>
        <v>-46169.321664526091</v>
      </c>
      <c r="V60" s="479">
        <f t="shared" si="14"/>
        <v>-28435.289670454491</v>
      </c>
      <c r="W60" s="479">
        <f t="shared" si="14"/>
        <v>-29003.99546386359</v>
      </c>
      <c r="X60" s="479">
        <f t="shared" si="14"/>
        <v>0</v>
      </c>
      <c r="Y60" s="479">
        <f t="shared" si="14"/>
        <v>0</v>
      </c>
      <c r="Z60" s="479">
        <f t="shared" si="14"/>
        <v>0</v>
      </c>
      <c r="AA60" s="479">
        <f t="shared" si="14"/>
        <v>0</v>
      </c>
      <c r="AB60" s="479">
        <f t="shared" si="14"/>
        <v>0</v>
      </c>
      <c r="AC60" s="479">
        <f t="shared" si="14"/>
        <v>0</v>
      </c>
      <c r="AD60" s="479">
        <f t="shared" si="14"/>
        <v>0</v>
      </c>
      <c r="AE60" s="479">
        <f t="shared" si="14"/>
        <v>0</v>
      </c>
      <c r="AF60" s="479">
        <f t="shared" si="14"/>
        <v>0</v>
      </c>
      <c r="AG60" s="479">
        <f t="shared" si="14"/>
        <v>0</v>
      </c>
      <c r="AH60" s="479">
        <f t="shared" si="14"/>
        <v>0</v>
      </c>
      <c r="AI60" s="479">
        <f t="shared" si="14"/>
        <v>0</v>
      </c>
      <c r="AJ60" s="479">
        <f t="shared" si="14"/>
        <v>0</v>
      </c>
      <c r="AK60" s="479">
        <f t="shared" si="14"/>
        <v>0</v>
      </c>
      <c r="AL60" s="479">
        <f t="shared" si="14"/>
        <v>0</v>
      </c>
      <c r="AM60" s="479">
        <f t="shared" si="14"/>
        <v>0</v>
      </c>
      <c r="AN60" s="479">
        <f t="shared" si="14"/>
        <v>0</v>
      </c>
      <c r="AO60" s="479">
        <f t="shared" si="14"/>
        <v>0</v>
      </c>
      <c r="AP60" s="479">
        <f t="shared" si="14"/>
        <v>0</v>
      </c>
      <c r="AQ60" s="480">
        <f t="shared" si="14"/>
        <v>0</v>
      </c>
      <c r="AR60" s="19"/>
    </row>
    <row r="61" spans="1:44" s="1" customFormat="1" x14ac:dyDescent="0.3">
      <c r="B61" s="488" t="s">
        <v>44</v>
      </c>
      <c r="C61" s="489">
        <f t="shared" ref="C61:AQ61" si="15">SUM(C48:C55)</f>
        <v>-885000</v>
      </c>
      <c r="D61" s="489">
        <f t="shared" si="15"/>
        <v>14975.099595234078</v>
      </c>
      <c r="E61" s="489">
        <f t="shared" si="15"/>
        <v>46171.11720646864</v>
      </c>
      <c r="F61" s="489">
        <f t="shared" si="15"/>
        <v>17612.608644556014</v>
      </c>
      <c r="G61" s="489">
        <f t="shared" si="15"/>
        <v>1602.8715662296927</v>
      </c>
      <c r="H61" s="489">
        <f t="shared" si="15"/>
        <v>-9962.895827903998</v>
      </c>
      <c r="I61" s="489">
        <f t="shared" si="15"/>
        <v>-10553.223830419767</v>
      </c>
      <c r="J61" s="489">
        <f t="shared" si="15"/>
        <v>-11096.326040018874</v>
      </c>
      <c r="K61" s="489">
        <f t="shared" si="15"/>
        <v>-25523.247559665462</v>
      </c>
      <c r="L61" s="489">
        <f t="shared" si="15"/>
        <v>-39934.835606171051</v>
      </c>
      <c r="M61" s="489">
        <f t="shared" si="15"/>
        <v>-40555.782542559478</v>
      </c>
      <c r="N61" s="489">
        <f t="shared" si="15"/>
        <v>-41193.359222106774</v>
      </c>
      <c r="O61" s="489">
        <f t="shared" si="15"/>
        <v>-41848.097285515578</v>
      </c>
      <c r="P61" s="489">
        <f t="shared" si="15"/>
        <v>-42520.548415252051</v>
      </c>
      <c r="Q61" s="489">
        <f t="shared" si="15"/>
        <v>-43211.285181144754</v>
      </c>
      <c r="R61" s="489">
        <f t="shared" si="15"/>
        <v>-43920.901923919388</v>
      </c>
      <c r="S61" s="489">
        <f t="shared" si="15"/>
        <v>-44650.015678422409</v>
      </c>
      <c r="T61" s="489">
        <f t="shared" si="15"/>
        <v>-45399.267138367533</v>
      </c>
      <c r="U61" s="489">
        <f t="shared" si="15"/>
        <v>-46169.321664526091</v>
      </c>
      <c r="V61" s="489">
        <f t="shared" si="15"/>
        <v>-28435.289670454491</v>
      </c>
      <c r="W61" s="489">
        <f t="shared" si="15"/>
        <v>-29003.99546386359</v>
      </c>
      <c r="X61" s="489">
        <f t="shared" si="15"/>
        <v>0</v>
      </c>
      <c r="Y61" s="489">
        <f t="shared" si="15"/>
        <v>0</v>
      </c>
      <c r="Z61" s="489">
        <f t="shared" si="15"/>
        <v>0</v>
      </c>
      <c r="AA61" s="489">
        <f t="shared" si="15"/>
        <v>0</v>
      </c>
      <c r="AB61" s="489">
        <f t="shared" si="15"/>
        <v>0</v>
      </c>
      <c r="AC61" s="489">
        <f t="shared" si="15"/>
        <v>0</v>
      </c>
      <c r="AD61" s="489">
        <f t="shared" si="15"/>
        <v>0</v>
      </c>
      <c r="AE61" s="489">
        <f t="shared" si="15"/>
        <v>0</v>
      </c>
      <c r="AF61" s="489">
        <f t="shared" si="15"/>
        <v>0</v>
      </c>
      <c r="AG61" s="489">
        <f t="shared" si="15"/>
        <v>0</v>
      </c>
      <c r="AH61" s="489">
        <f t="shared" si="15"/>
        <v>0</v>
      </c>
      <c r="AI61" s="489">
        <f t="shared" si="15"/>
        <v>0</v>
      </c>
      <c r="AJ61" s="489">
        <f t="shared" si="15"/>
        <v>0</v>
      </c>
      <c r="AK61" s="489">
        <f t="shared" si="15"/>
        <v>0</v>
      </c>
      <c r="AL61" s="489">
        <f t="shared" si="15"/>
        <v>0</v>
      </c>
      <c r="AM61" s="489">
        <f t="shared" si="15"/>
        <v>0</v>
      </c>
      <c r="AN61" s="489">
        <f t="shared" si="15"/>
        <v>0</v>
      </c>
      <c r="AO61" s="489">
        <f t="shared" si="15"/>
        <v>0</v>
      </c>
      <c r="AP61" s="489">
        <f t="shared" si="15"/>
        <v>0</v>
      </c>
      <c r="AQ61" s="490">
        <f t="shared" si="15"/>
        <v>0</v>
      </c>
      <c r="AR61" s="19"/>
    </row>
    <row r="62" spans="1:44" s="1" customFormat="1" x14ac:dyDescent="0.3">
      <c r="B62" s="450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19"/>
    </row>
    <row r="63" spans="1:44" s="1" customFormat="1" x14ac:dyDescent="0.3">
      <c r="B63" s="491" t="s">
        <v>241</v>
      </c>
      <c r="C63" s="29">
        <f>(1+H24)/(1+H28)-1</f>
        <v>8.3924403769337408E-2</v>
      </c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19"/>
    </row>
    <row r="64" spans="1:44" s="1" customFormat="1" x14ac:dyDescent="0.3">
      <c r="B64" s="491" t="s">
        <v>242</v>
      </c>
      <c r="C64" s="295">
        <f>NPV($C$63,$D73:$AQ73)+$C73</f>
        <v>12532.831224427839</v>
      </c>
      <c r="D64" s="23"/>
      <c r="E64" s="29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19"/>
    </row>
    <row r="65" spans="2:44" s="1" customFormat="1" x14ac:dyDescent="0.3">
      <c r="B65" s="491" t="s">
        <v>243</v>
      </c>
      <c r="C65" s="295">
        <f>-PV(C63,$C$24,$C$6)*1000</f>
        <v>9537.923306261675</v>
      </c>
      <c r="D65" s="23"/>
      <c r="E65" s="29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19"/>
    </row>
    <row r="66" spans="2:44" s="1" customFormat="1" x14ac:dyDescent="0.3">
      <c r="B66" s="491" t="s">
        <v>244</v>
      </c>
      <c r="C66" s="492">
        <f>-(C60+NPV(H24,D60:AQ60))/C64/(1-$H$8)</f>
        <v>107.50596536387717</v>
      </c>
      <c r="D66" s="295"/>
      <c r="E66" s="295"/>
      <c r="F66" s="398"/>
      <c r="G66" s="398"/>
      <c r="H66" s="117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19"/>
    </row>
    <row r="67" spans="2:44" s="1" customFormat="1" x14ac:dyDescent="0.3">
      <c r="B67" s="491" t="s">
        <v>245</v>
      </c>
      <c r="C67" s="492">
        <f>-(C61+NPV(H24,D61:AQ61))/C64/(1-$H$8)</f>
        <v>107.50596536387717</v>
      </c>
      <c r="D67" s="295"/>
      <c r="E67" s="295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  <c r="AN67" s="398"/>
      <c r="AO67" s="398"/>
      <c r="AP67" s="398"/>
      <c r="AQ67" s="398"/>
      <c r="AR67" s="19"/>
    </row>
    <row r="68" spans="2:44" s="1" customFormat="1" x14ac:dyDescent="0.3">
      <c r="B68" s="491" t="s">
        <v>214</v>
      </c>
      <c r="C68" s="493"/>
      <c r="D68" s="398">
        <f t="shared" ref="D68:AQ68" si="16">IF(D$73&gt;0,-SUM(D$56:D$59)/D$73,0)/(1-$H$8)</f>
        <v>0</v>
      </c>
      <c r="E68" s="398">
        <f t="shared" si="16"/>
        <v>0</v>
      </c>
      <c r="F68" s="398">
        <f t="shared" si="16"/>
        <v>0</v>
      </c>
      <c r="G68" s="398">
        <f t="shared" si="16"/>
        <v>0</v>
      </c>
      <c r="H68" s="398">
        <f t="shared" si="16"/>
        <v>0</v>
      </c>
      <c r="I68" s="398">
        <f t="shared" si="16"/>
        <v>0</v>
      </c>
      <c r="J68" s="398">
        <f t="shared" si="16"/>
        <v>0</v>
      </c>
      <c r="K68" s="398">
        <f t="shared" si="16"/>
        <v>0</v>
      </c>
      <c r="L68" s="398">
        <f t="shared" si="16"/>
        <v>0</v>
      </c>
      <c r="M68" s="398">
        <f t="shared" si="16"/>
        <v>0</v>
      </c>
      <c r="N68" s="398">
        <f t="shared" si="16"/>
        <v>0</v>
      </c>
      <c r="O68" s="398">
        <f t="shared" si="16"/>
        <v>0</v>
      </c>
      <c r="P68" s="398">
        <f t="shared" si="16"/>
        <v>0</v>
      </c>
      <c r="Q68" s="398">
        <f t="shared" si="16"/>
        <v>0</v>
      </c>
      <c r="R68" s="398">
        <f t="shared" si="16"/>
        <v>0</v>
      </c>
      <c r="S68" s="398">
        <f t="shared" si="16"/>
        <v>0</v>
      </c>
      <c r="T68" s="398">
        <f t="shared" si="16"/>
        <v>0</v>
      </c>
      <c r="U68" s="398">
        <f t="shared" si="16"/>
        <v>0</v>
      </c>
      <c r="V68" s="398">
        <f t="shared" si="16"/>
        <v>0</v>
      </c>
      <c r="W68" s="398">
        <f t="shared" si="16"/>
        <v>0</v>
      </c>
      <c r="X68" s="398">
        <f t="shared" si="16"/>
        <v>0</v>
      </c>
      <c r="Y68" s="398">
        <f t="shared" si="16"/>
        <v>0</v>
      </c>
      <c r="Z68" s="398">
        <f t="shared" si="16"/>
        <v>0</v>
      </c>
      <c r="AA68" s="398">
        <f t="shared" si="16"/>
        <v>0</v>
      </c>
      <c r="AB68" s="398">
        <f t="shared" si="16"/>
        <v>0</v>
      </c>
      <c r="AC68" s="398">
        <f t="shared" si="16"/>
        <v>0</v>
      </c>
      <c r="AD68" s="398">
        <f t="shared" si="16"/>
        <v>0</v>
      </c>
      <c r="AE68" s="398">
        <f t="shared" si="16"/>
        <v>0</v>
      </c>
      <c r="AF68" s="398">
        <f t="shared" si="16"/>
        <v>0</v>
      </c>
      <c r="AG68" s="398">
        <f t="shared" si="16"/>
        <v>0</v>
      </c>
      <c r="AH68" s="398">
        <f t="shared" si="16"/>
        <v>0</v>
      </c>
      <c r="AI68" s="398">
        <f t="shared" si="16"/>
        <v>0</v>
      </c>
      <c r="AJ68" s="398">
        <f t="shared" si="16"/>
        <v>0</v>
      </c>
      <c r="AK68" s="398">
        <f t="shared" si="16"/>
        <v>0</v>
      </c>
      <c r="AL68" s="398">
        <f t="shared" si="16"/>
        <v>0</v>
      </c>
      <c r="AM68" s="398">
        <f t="shared" si="16"/>
        <v>0</v>
      </c>
      <c r="AN68" s="398">
        <f t="shared" si="16"/>
        <v>0</v>
      </c>
      <c r="AO68" s="398">
        <f t="shared" si="16"/>
        <v>0</v>
      </c>
      <c r="AP68" s="398">
        <f t="shared" si="16"/>
        <v>0</v>
      </c>
      <c r="AQ68" s="398">
        <f t="shared" si="16"/>
        <v>0</v>
      </c>
      <c r="AR68" s="19"/>
    </row>
    <row r="69" spans="2:44" s="1" customFormat="1" x14ac:dyDescent="0.3">
      <c r="B69" s="494"/>
      <c r="C69" s="493"/>
      <c r="D69" s="295"/>
      <c r="E69" s="295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398"/>
      <c r="AP69" s="398"/>
      <c r="AQ69" s="398"/>
      <c r="AR69" s="19"/>
    </row>
    <row r="70" spans="2:44" s="1" customFormat="1" x14ac:dyDescent="0.3">
      <c r="B70" s="450"/>
      <c r="C70" s="295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19"/>
    </row>
    <row r="71" spans="2:44" x14ac:dyDescent="0.3">
      <c r="B71" s="370" t="s">
        <v>246</v>
      </c>
      <c r="C71" s="495">
        <v>0</v>
      </c>
      <c r="D71" s="373">
        <v>1</v>
      </c>
      <c r="E71" s="495">
        <v>2</v>
      </c>
      <c r="F71" s="373">
        <v>3</v>
      </c>
      <c r="G71" s="495">
        <v>4</v>
      </c>
      <c r="H71" s="373">
        <v>5</v>
      </c>
      <c r="I71" s="495">
        <v>6</v>
      </c>
      <c r="J71" s="373">
        <v>7</v>
      </c>
      <c r="K71" s="495">
        <v>8</v>
      </c>
      <c r="L71" s="373">
        <v>9</v>
      </c>
      <c r="M71" s="495">
        <v>10</v>
      </c>
      <c r="N71" s="373">
        <v>11</v>
      </c>
      <c r="O71" s="495">
        <v>12</v>
      </c>
      <c r="P71" s="373">
        <v>13</v>
      </c>
      <c r="Q71" s="495">
        <v>14</v>
      </c>
      <c r="R71" s="373">
        <v>15</v>
      </c>
      <c r="S71" s="495">
        <v>16</v>
      </c>
      <c r="T71" s="373">
        <v>17</v>
      </c>
      <c r="U71" s="495">
        <v>18</v>
      </c>
      <c r="V71" s="373">
        <v>19</v>
      </c>
      <c r="W71" s="495">
        <v>20</v>
      </c>
      <c r="X71" s="373">
        <v>21</v>
      </c>
      <c r="Y71" s="495">
        <v>22</v>
      </c>
      <c r="Z71" s="373">
        <v>23</v>
      </c>
      <c r="AA71" s="495">
        <v>24</v>
      </c>
      <c r="AB71" s="373">
        <v>25</v>
      </c>
      <c r="AC71" s="495">
        <v>26</v>
      </c>
      <c r="AD71" s="373">
        <v>27</v>
      </c>
      <c r="AE71" s="495">
        <v>28</v>
      </c>
      <c r="AF71" s="373">
        <v>29</v>
      </c>
      <c r="AG71" s="495">
        <v>30</v>
      </c>
      <c r="AH71" s="373">
        <v>31</v>
      </c>
      <c r="AI71" s="495">
        <v>32</v>
      </c>
      <c r="AJ71" s="373">
        <v>33</v>
      </c>
      <c r="AK71" s="495">
        <v>34</v>
      </c>
      <c r="AL71" s="373">
        <v>35</v>
      </c>
      <c r="AM71" s="495">
        <v>36</v>
      </c>
      <c r="AN71" s="373">
        <v>37</v>
      </c>
      <c r="AO71" s="495">
        <v>38</v>
      </c>
      <c r="AP71" s="373">
        <v>39</v>
      </c>
      <c r="AQ71" s="496">
        <v>40</v>
      </c>
    </row>
    <row r="72" spans="2:44" x14ac:dyDescent="0.3">
      <c r="B72" s="497"/>
      <c r="C72" s="49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391"/>
    </row>
    <row r="73" spans="2:44" x14ac:dyDescent="0.3">
      <c r="B73" s="497" t="s">
        <v>247</v>
      </c>
      <c r="C73" s="498"/>
      <c r="D73" s="499">
        <f>IF($C$24&gt;=D71,C22,0)</f>
        <v>1314</v>
      </c>
      <c r="E73" s="499">
        <f t="shared" ref="E73:AQ73" si="17">IF($C$24&gt;=E71,D73*(1-$C$23),0)</f>
        <v>1314</v>
      </c>
      <c r="F73" s="499">
        <f t="shared" si="17"/>
        <v>1314</v>
      </c>
      <c r="G73" s="499">
        <f t="shared" si="17"/>
        <v>1314</v>
      </c>
      <c r="H73" s="499">
        <f t="shared" si="17"/>
        <v>1314</v>
      </c>
      <c r="I73" s="499">
        <f t="shared" si="17"/>
        <v>1314</v>
      </c>
      <c r="J73" s="499">
        <f t="shared" si="17"/>
        <v>1314</v>
      </c>
      <c r="K73" s="499">
        <f t="shared" si="17"/>
        <v>1314</v>
      </c>
      <c r="L73" s="499">
        <f t="shared" si="17"/>
        <v>1314</v>
      </c>
      <c r="M73" s="499">
        <f t="shared" si="17"/>
        <v>1314</v>
      </c>
      <c r="N73" s="499">
        <f t="shared" si="17"/>
        <v>1314</v>
      </c>
      <c r="O73" s="499">
        <f t="shared" si="17"/>
        <v>1314</v>
      </c>
      <c r="P73" s="499">
        <f t="shared" si="17"/>
        <v>1314</v>
      </c>
      <c r="Q73" s="499">
        <f t="shared" si="17"/>
        <v>1314</v>
      </c>
      <c r="R73" s="499">
        <f t="shared" si="17"/>
        <v>1314</v>
      </c>
      <c r="S73" s="499">
        <f t="shared" si="17"/>
        <v>1314</v>
      </c>
      <c r="T73" s="499">
        <f t="shared" si="17"/>
        <v>1314</v>
      </c>
      <c r="U73" s="499">
        <f t="shared" si="17"/>
        <v>1314</v>
      </c>
      <c r="V73" s="499">
        <f t="shared" si="17"/>
        <v>1314</v>
      </c>
      <c r="W73" s="499">
        <f t="shared" si="17"/>
        <v>1314</v>
      </c>
      <c r="X73" s="499">
        <f t="shared" si="17"/>
        <v>0</v>
      </c>
      <c r="Y73" s="499">
        <f t="shared" si="17"/>
        <v>0</v>
      </c>
      <c r="Z73" s="499">
        <f t="shared" si="17"/>
        <v>0</v>
      </c>
      <c r="AA73" s="499">
        <f t="shared" si="17"/>
        <v>0</v>
      </c>
      <c r="AB73" s="499">
        <f t="shared" si="17"/>
        <v>0</v>
      </c>
      <c r="AC73" s="499">
        <f t="shared" si="17"/>
        <v>0</v>
      </c>
      <c r="AD73" s="499">
        <f t="shared" si="17"/>
        <v>0</v>
      </c>
      <c r="AE73" s="499">
        <f t="shared" si="17"/>
        <v>0</v>
      </c>
      <c r="AF73" s="499">
        <f t="shared" si="17"/>
        <v>0</v>
      </c>
      <c r="AG73" s="499">
        <f t="shared" si="17"/>
        <v>0</v>
      </c>
      <c r="AH73" s="499">
        <f t="shared" si="17"/>
        <v>0</v>
      </c>
      <c r="AI73" s="499">
        <f t="shared" si="17"/>
        <v>0</v>
      </c>
      <c r="AJ73" s="499">
        <f t="shared" si="17"/>
        <v>0</v>
      </c>
      <c r="AK73" s="499">
        <f t="shared" si="17"/>
        <v>0</v>
      </c>
      <c r="AL73" s="499">
        <f t="shared" si="17"/>
        <v>0</v>
      </c>
      <c r="AM73" s="499">
        <f t="shared" si="17"/>
        <v>0</v>
      </c>
      <c r="AN73" s="499">
        <f t="shared" si="17"/>
        <v>0</v>
      </c>
      <c r="AO73" s="499">
        <f t="shared" si="17"/>
        <v>0</v>
      </c>
      <c r="AP73" s="499">
        <f t="shared" si="17"/>
        <v>0</v>
      </c>
      <c r="AQ73" s="500">
        <f t="shared" si="17"/>
        <v>0</v>
      </c>
    </row>
    <row r="74" spans="2:44" x14ac:dyDescent="0.3">
      <c r="B74" s="497" t="s">
        <v>248</v>
      </c>
      <c r="C74" s="498"/>
      <c r="D74" s="499">
        <f>IF($C$24&gt;=D71,C6,0)</f>
        <v>1</v>
      </c>
      <c r="E74" s="499">
        <f t="shared" ref="E74:AQ74" si="18">IF($C$24&gt;=E71,D74,0)</f>
        <v>1</v>
      </c>
      <c r="F74" s="499">
        <f t="shared" si="18"/>
        <v>1</v>
      </c>
      <c r="G74" s="499">
        <f t="shared" si="18"/>
        <v>1</v>
      </c>
      <c r="H74" s="499">
        <f t="shared" si="18"/>
        <v>1</v>
      </c>
      <c r="I74" s="499">
        <f t="shared" si="18"/>
        <v>1</v>
      </c>
      <c r="J74" s="499">
        <f t="shared" si="18"/>
        <v>1</v>
      </c>
      <c r="K74" s="499">
        <f t="shared" si="18"/>
        <v>1</v>
      </c>
      <c r="L74" s="499">
        <f t="shared" si="18"/>
        <v>1</v>
      </c>
      <c r="M74" s="499">
        <f t="shared" si="18"/>
        <v>1</v>
      </c>
      <c r="N74" s="499">
        <f t="shared" si="18"/>
        <v>1</v>
      </c>
      <c r="O74" s="499">
        <f t="shared" si="18"/>
        <v>1</v>
      </c>
      <c r="P74" s="499">
        <f t="shared" si="18"/>
        <v>1</v>
      </c>
      <c r="Q74" s="499">
        <f t="shared" si="18"/>
        <v>1</v>
      </c>
      <c r="R74" s="499">
        <f t="shared" si="18"/>
        <v>1</v>
      </c>
      <c r="S74" s="499">
        <f t="shared" si="18"/>
        <v>1</v>
      </c>
      <c r="T74" s="499">
        <f t="shared" si="18"/>
        <v>1</v>
      </c>
      <c r="U74" s="499">
        <f t="shared" si="18"/>
        <v>1</v>
      </c>
      <c r="V74" s="499">
        <f t="shared" si="18"/>
        <v>1</v>
      </c>
      <c r="W74" s="499">
        <f t="shared" si="18"/>
        <v>1</v>
      </c>
      <c r="X74" s="499">
        <f t="shared" si="18"/>
        <v>0</v>
      </c>
      <c r="Y74" s="499">
        <f t="shared" si="18"/>
        <v>0</v>
      </c>
      <c r="Z74" s="499">
        <f t="shared" si="18"/>
        <v>0</v>
      </c>
      <c r="AA74" s="499">
        <f t="shared" si="18"/>
        <v>0</v>
      </c>
      <c r="AB74" s="499">
        <f t="shared" si="18"/>
        <v>0</v>
      </c>
      <c r="AC74" s="499">
        <f t="shared" si="18"/>
        <v>0</v>
      </c>
      <c r="AD74" s="499">
        <f t="shared" si="18"/>
        <v>0</v>
      </c>
      <c r="AE74" s="499">
        <f t="shared" si="18"/>
        <v>0</v>
      </c>
      <c r="AF74" s="499">
        <f t="shared" si="18"/>
        <v>0</v>
      </c>
      <c r="AG74" s="499">
        <f t="shared" si="18"/>
        <v>0</v>
      </c>
      <c r="AH74" s="499">
        <f t="shared" si="18"/>
        <v>0</v>
      </c>
      <c r="AI74" s="499">
        <f t="shared" si="18"/>
        <v>0</v>
      </c>
      <c r="AJ74" s="499">
        <f t="shared" si="18"/>
        <v>0</v>
      </c>
      <c r="AK74" s="499">
        <f t="shared" si="18"/>
        <v>0</v>
      </c>
      <c r="AL74" s="499">
        <f t="shared" si="18"/>
        <v>0</v>
      </c>
      <c r="AM74" s="499">
        <f t="shared" si="18"/>
        <v>0</v>
      </c>
      <c r="AN74" s="499">
        <f t="shared" si="18"/>
        <v>0</v>
      </c>
      <c r="AO74" s="499">
        <f t="shared" si="18"/>
        <v>0</v>
      </c>
      <c r="AP74" s="499">
        <f t="shared" si="18"/>
        <v>0</v>
      </c>
      <c r="AQ74" s="500">
        <f t="shared" si="18"/>
        <v>0</v>
      </c>
    </row>
    <row r="75" spans="2:44" s="501" customFormat="1" x14ac:dyDescent="0.3">
      <c r="B75" s="10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  <c r="AD75" s="479"/>
      <c r="AE75" s="479"/>
      <c r="AF75" s="479"/>
      <c r="AG75" s="479"/>
      <c r="AH75" s="479"/>
      <c r="AI75" s="479"/>
      <c r="AJ75" s="479"/>
      <c r="AK75" s="479"/>
      <c r="AL75" s="479"/>
      <c r="AM75" s="479"/>
      <c r="AN75" s="479"/>
      <c r="AO75" s="479"/>
      <c r="AP75" s="479"/>
      <c r="AQ75" s="480"/>
      <c r="AR75" s="19"/>
    </row>
    <row r="76" spans="2:44" s="25" customFormat="1" x14ac:dyDescent="0.3">
      <c r="B76" s="144" t="s">
        <v>249</v>
      </c>
      <c r="C76" s="479"/>
      <c r="D76" s="502">
        <f t="shared" ref="D76:AQ76" si="19">IF(D$71&lt;=$C$24,IF($H$29,$C$67*(1+$H$28)^D$71+D$68,$C$66*(1+$H$28)^D$71),0)</f>
        <v>109.65608467115472</v>
      </c>
      <c r="E76" s="502">
        <f t="shared" si="19"/>
        <v>111.8492063645778</v>
      </c>
      <c r="F76" s="502">
        <f t="shared" si="19"/>
        <v>114.08619049186935</v>
      </c>
      <c r="G76" s="502">
        <f t="shared" si="19"/>
        <v>116.36791430170675</v>
      </c>
      <c r="H76" s="502">
        <f t="shared" si="19"/>
        <v>118.69527258774089</v>
      </c>
      <c r="I76" s="502">
        <f t="shared" si="19"/>
        <v>121.06917803949571</v>
      </c>
      <c r="J76" s="502">
        <f t="shared" si="19"/>
        <v>123.49056160028559</v>
      </c>
      <c r="K76" s="502">
        <f t="shared" si="19"/>
        <v>125.96037283229131</v>
      </c>
      <c r="L76" s="502">
        <f t="shared" si="19"/>
        <v>128.47958028893714</v>
      </c>
      <c r="M76" s="502">
        <f t="shared" si="19"/>
        <v>131.0491718947159</v>
      </c>
      <c r="N76" s="502">
        <f t="shared" si="19"/>
        <v>133.67015533261019</v>
      </c>
      <c r="O76" s="502">
        <f t="shared" si="19"/>
        <v>136.34355843926241</v>
      </c>
      <c r="P76" s="502">
        <f t="shared" si="19"/>
        <v>139.07042960804765</v>
      </c>
      <c r="Q76" s="502">
        <f t="shared" si="19"/>
        <v>141.85183820020862</v>
      </c>
      <c r="R76" s="502">
        <f t="shared" si="19"/>
        <v>144.68887496421274</v>
      </c>
      <c r="S76" s="502">
        <f t="shared" si="19"/>
        <v>147.58265246349703</v>
      </c>
      <c r="T76" s="502">
        <f t="shared" si="19"/>
        <v>150.53430551276699</v>
      </c>
      <c r="U76" s="502">
        <f t="shared" si="19"/>
        <v>153.5449916230223</v>
      </c>
      <c r="V76" s="502">
        <f t="shared" si="19"/>
        <v>156.61589145548274</v>
      </c>
      <c r="W76" s="502">
        <f t="shared" si="19"/>
        <v>159.74820928459241</v>
      </c>
      <c r="X76" s="502">
        <f t="shared" si="19"/>
        <v>0</v>
      </c>
      <c r="Y76" s="502">
        <f t="shared" si="19"/>
        <v>0</v>
      </c>
      <c r="Z76" s="502">
        <f t="shared" si="19"/>
        <v>0</v>
      </c>
      <c r="AA76" s="502">
        <f t="shared" si="19"/>
        <v>0</v>
      </c>
      <c r="AB76" s="502">
        <f t="shared" si="19"/>
        <v>0</v>
      </c>
      <c r="AC76" s="502">
        <f t="shared" si="19"/>
        <v>0</v>
      </c>
      <c r="AD76" s="502">
        <f t="shared" si="19"/>
        <v>0</v>
      </c>
      <c r="AE76" s="502">
        <f t="shared" si="19"/>
        <v>0</v>
      </c>
      <c r="AF76" s="502">
        <f t="shared" si="19"/>
        <v>0</v>
      </c>
      <c r="AG76" s="502">
        <f t="shared" si="19"/>
        <v>0</v>
      </c>
      <c r="AH76" s="502">
        <f t="shared" si="19"/>
        <v>0</v>
      </c>
      <c r="AI76" s="502">
        <f t="shared" si="19"/>
        <v>0</v>
      </c>
      <c r="AJ76" s="502">
        <f t="shared" si="19"/>
        <v>0</v>
      </c>
      <c r="AK76" s="502">
        <f t="shared" si="19"/>
        <v>0</v>
      </c>
      <c r="AL76" s="502">
        <f t="shared" si="19"/>
        <v>0</v>
      </c>
      <c r="AM76" s="502">
        <f t="shared" si="19"/>
        <v>0</v>
      </c>
      <c r="AN76" s="502">
        <f t="shared" si="19"/>
        <v>0</v>
      </c>
      <c r="AO76" s="502">
        <f t="shared" si="19"/>
        <v>0</v>
      </c>
      <c r="AP76" s="502">
        <f t="shared" si="19"/>
        <v>0</v>
      </c>
      <c r="AQ76" s="503">
        <f t="shared" si="19"/>
        <v>0</v>
      </c>
      <c r="AR76" s="19"/>
    </row>
    <row r="77" spans="2:44" x14ac:dyDescent="0.3">
      <c r="B77" s="144" t="s">
        <v>250</v>
      </c>
      <c r="C77" s="504"/>
      <c r="D77" s="479">
        <f t="shared" ref="D77:AQ77" si="20">D73*D76</f>
        <v>144088.09525789731</v>
      </c>
      <c r="E77" s="479">
        <f t="shared" si="20"/>
        <v>146969.85716305522</v>
      </c>
      <c r="F77" s="479">
        <f t="shared" si="20"/>
        <v>149909.25430631632</v>
      </c>
      <c r="G77" s="479">
        <f t="shared" si="20"/>
        <v>152907.43939244267</v>
      </c>
      <c r="H77" s="479">
        <f t="shared" si="20"/>
        <v>155965.58818029152</v>
      </c>
      <c r="I77" s="479">
        <f t="shared" si="20"/>
        <v>159084.89994389736</v>
      </c>
      <c r="J77" s="479">
        <f t="shared" si="20"/>
        <v>162266.59794277526</v>
      </c>
      <c r="K77" s="479">
        <f t="shared" si="20"/>
        <v>165511.92990163079</v>
      </c>
      <c r="L77" s="479">
        <f t="shared" si="20"/>
        <v>168822.16849966341</v>
      </c>
      <c r="M77" s="479">
        <f t="shared" si="20"/>
        <v>172198.61186965668</v>
      </c>
      <c r="N77" s="479">
        <f t="shared" si="20"/>
        <v>175642.5841070498</v>
      </c>
      <c r="O77" s="479">
        <f t="shared" si="20"/>
        <v>179155.43578919081</v>
      </c>
      <c r="P77" s="479">
        <f t="shared" si="20"/>
        <v>182738.54450497462</v>
      </c>
      <c r="Q77" s="479">
        <f t="shared" si="20"/>
        <v>186393.31539507411</v>
      </c>
      <c r="R77" s="479">
        <f t="shared" si="20"/>
        <v>190121.18170297553</v>
      </c>
      <c r="S77" s="479">
        <f t="shared" si="20"/>
        <v>193923.60533703509</v>
      </c>
      <c r="T77" s="479">
        <f t="shared" si="20"/>
        <v>197802.07744377584</v>
      </c>
      <c r="U77" s="479">
        <f t="shared" si="20"/>
        <v>201758.11899265129</v>
      </c>
      <c r="V77" s="479">
        <f t="shared" si="20"/>
        <v>205793.28137250431</v>
      </c>
      <c r="W77" s="479">
        <f t="shared" si="20"/>
        <v>209909.14699995442</v>
      </c>
      <c r="X77" s="479">
        <f t="shared" si="20"/>
        <v>0</v>
      </c>
      <c r="Y77" s="479">
        <f t="shared" si="20"/>
        <v>0</v>
      </c>
      <c r="Z77" s="479">
        <f t="shared" si="20"/>
        <v>0</v>
      </c>
      <c r="AA77" s="479">
        <f t="shared" si="20"/>
        <v>0</v>
      </c>
      <c r="AB77" s="479">
        <f t="shared" si="20"/>
        <v>0</v>
      </c>
      <c r="AC77" s="479">
        <f t="shared" si="20"/>
        <v>0</v>
      </c>
      <c r="AD77" s="479">
        <f t="shared" si="20"/>
        <v>0</v>
      </c>
      <c r="AE77" s="479">
        <f t="shared" si="20"/>
        <v>0</v>
      </c>
      <c r="AF77" s="479">
        <f t="shared" si="20"/>
        <v>0</v>
      </c>
      <c r="AG77" s="479">
        <f t="shared" si="20"/>
        <v>0</v>
      </c>
      <c r="AH77" s="479">
        <f t="shared" si="20"/>
        <v>0</v>
      </c>
      <c r="AI77" s="479">
        <f t="shared" si="20"/>
        <v>0</v>
      </c>
      <c r="AJ77" s="479">
        <f t="shared" si="20"/>
        <v>0</v>
      </c>
      <c r="AK77" s="479">
        <f t="shared" si="20"/>
        <v>0</v>
      </c>
      <c r="AL77" s="479">
        <f t="shared" si="20"/>
        <v>0</v>
      </c>
      <c r="AM77" s="479">
        <f t="shared" si="20"/>
        <v>0</v>
      </c>
      <c r="AN77" s="479">
        <f t="shared" si="20"/>
        <v>0</v>
      </c>
      <c r="AO77" s="479">
        <f t="shared" si="20"/>
        <v>0</v>
      </c>
      <c r="AP77" s="479">
        <f t="shared" si="20"/>
        <v>0</v>
      </c>
      <c r="AQ77" s="480">
        <f t="shared" si="20"/>
        <v>0</v>
      </c>
    </row>
    <row r="78" spans="2:44" s="1" customFormat="1" x14ac:dyDescent="0.3">
      <c r="B78" s="497" t="s">
        <v>251</v>
      </c>
      <c r="C78" s="505"/>
      <c r="D78" s="505">
        <f t="shared" ref="D78:AQ78" si="21">D77</f>
        <v>144088.09525789731</v>
      </c>
      <c r="E78" s="505">
        <f t="shared" si="21"/>
        <v>146969.85716305522</v>
      </c>
      <c r="F78" s="505">
        <f t="shared" si="21"/>
        <v>149909.25430631632</v>
      </c>
      <c r="G78" s="505">
        <f t="shared" si="21"/>
        <v>152907.43939244267</v>
      </c>
      <c r="H78" s="505">
        <f t="shared" si="21"/>
        <v>155965.58818029152</v>
      </c>
      <c r="I78" s="505">
        <f t="shared" si="21"/>
        <v>159084.89994389736</v>
      </c>
      <c r="J78" s="505">
        <f t="shared" si="21"/>
        <v>162266.59794277526</v>
      </c>
      <c r="K78" s="505">
        <f t="shared" si="21"/>
        <v>165511.92990163079</v>
      </c>
      <c r="L78" s="505">
        <f t="shared" si="21"/>
        <v>168822.16849966341</v>
      </c>
      <c r="M78" s="505">
        <f t="shared" si="21"/>
        <v>172198.61186965668</v>
      </c>
      <c r="N78" s="505">
        <f t="shared" si="21"/>
        <v>175642.5841070498</v>
      </c>
      <c r="O78" s="505">
        <f t="shared" si="21"/>
        <v>179155.43578919081</v>
      </c>
      <c r="P78" s="505">
        <f t="shared" si="21"/>
        <v>182738.54450497462</v>
      </c>
      <c r="Q78" s="505">
        <f t="shared" si="21"/>
        <v>186393.31539507411</v>
      </c>
      <c r="R78" s="505">
        <f t="shared" si="21"/>
        <v>190121.18170297553</v>
      </c>
      <c r="S78" s="505">
        <f t="shared" si="21"/>
        <v>193923.60533703509</v>
      </c>
      <c r="T78" s="505">
        <f t="shared" si="21"/>
        <v>197802.07744377584</v>
      </c>
      <c r="U78" s="505">
        <f t="shared" si="21"/>
        <v>201758.11899265129</v>
      </c>
      <c r="V78" s="505">
        <f t="shared" si="21"/>
        <v>205793.28137250431</v>
      </c>
      <c r="W78" s="505">
        <f t="shared" si="21"/>
        <v>209909.14699995442</v>
      </c>
      <c r="X78" s="505">
        <f t="shared" si="21"/>
        <v>0</v>
      </c>
      <c r="Y78" s="505">
        <f t="shared" si="21"/>
        <v>0</v>
      </c>
      <c r="Z78" s="505">
        <f t="shared" si="21"/>
        <v>0</v>
      </c>
      <c r="AA78" s="505">
        <f t="shared" si="21"/>
        <v>0</v>
      </c>
      <c r="AB78" s="505">
        <f t="shared" si="21"/>
        <v>0</v>
      </c>
      <c r="AC78" s="505">
        <f t="shared" si="21"/>
        <v>0</v>
      </c>
      <c r="AD78" s="505">
        <f t="shared" si="21"/>
        <v>0</v>
      </c>
      <c r="AE78" s="505">
        <f t="shared" si="21"/>
        <v>0</v>
      </c>
      <c r="AF78" s="505">
        <f t="shared" si="21"/>
        <v>0</v>
      </c>
      <c r="AG78" s="505">
        <f t="shared" si="21"/>
        <v>0</v>
      </c>
      <c r="AH78" s="505">
        <f t="shared" si="21"/>
        <v>0</v>
      </c>
      <c r="AI78" s="505">
        <f t="shared" si="21"/>
        <v>0</v>
      </c>
      <c r="AJ78" s="505">
        <f t="shared" si="21"/>
        <v>0</v>
      </c>
      <c r="AK78" s="505">
        <f t="shared" si="21"/>
        <v>0</v>
      </c>
      <c r="AL78" s="505">
        <f t="shared" si="21"/>
        <v>0</v>
      </c>
      <c r="AM78" s="505">
        <f t="shared" si="21"/>
        <v>0</v>
      </c>
      <c r="AN78" s="505">
        <f t="shared" si="21"/>
        <v>0</v>
      </c>
      <c r="AO78" s="505">
        <f t="shared" si="21"/>
        <v>0</v>
      </c>
      <c r="AP78" s="505">
        <f t="shared" si="21"/>
        <v>0</v>
      </c>
      <c r="AQ78" s="506">
        <f t="shared" si="21"/>
        <v>0</v>
      </c>
      <c r="AR78" s="19"/>
    </row>
    <row r="79" spans="2:44" s="1" customFormat="1" x14ac:dyDescent="0.3">
      <c r="B79" s="14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4"/>
      <c r="AQ79" s="507"/>
      <c r="AR79" s="19"/>
    </row>
    <row r="80" spans="2:44" s="1" customFormat="1" x14ac:dyDescent="0.3">
      <c r="B80" s="144" t="s">
        <v>252</v>
      </c>
      <c r="C80" s="504"/>
      <c r="D80" s="508">
        <f>IF($C$24&gt;=D71,-$C$6*$C$29*1000)*(1+$C$30)^(D71)</f>
        <v>-7843.1372549019607</v>
      </c>
      <c r="E80" s="508">
        <f t="shared" ref="E80:AQ80" si="22">IF($C$24&gt;=E71,-$C$6*$C$29*1000)*(1+$C$30)^(E71)</f>
        <v>-8000</v>
      </c>
      <c r="F80" s="508">
        <f t="shared" si="22"/>
        <v>-8159.9999999999991</v>
      </c>
      <c r="G80" s="508">
        <f t="shared" si="22"/>
        <v>-8323.2000000000007</v>
      </c>
      <c r="H80" s="508">
        <f t="shared" si="22"/>
        <v>-8489.6640000000007</v>
      </c>
      <c r="I80" s="508">
        <f t="shared" si="22"/>
        <v>-8659.4572800000005</v>
      </c>
      <c r="J80" s="508">
        <f t="shared" si="22"/>
        <v>-8832.6464255999981</v>
      </c>
      <c r="K80" s="508">
        <f t="shared" si="22"/>
        <v>-9009.2993541119995</v>
      </c>
      <c r="L80" s="508">
        <f t="shared" si="22"/>
        <v>-9189.4853411942404</v>
      </c>
      <c r="M80" s="508">
        <f t="shared" si="22"/>
        <v>-9373.2750480181239</v>
      </c>
      <c r="N80" s="508">
        <f t="shared" si="22"/>
        <v>-9560.7405489784851</v>
      </c>
      <c r="O80" s="508">
        <f t="shared" si="22"/>
        <v>-9751.9553599580559</v>
      </c>
      <c r="P80" s="508">
        <f t="shared" si="22"/>
        <v>-9946.9944671572175</v>
      </c>
      <c r="Q80" s="508">
        <f t="shared" si="22"/>
        <v>-10145.934356500362</v>
      </c>
      <c r="R80" s="508">
        <f t="shared" si="22"/>
        <v>-10348.853043630366</v>
      </c>
      <c r="S80" s="508">
        <f t="shared" si="22"/>
        <v>-10555.830104502977</v>
      </c>
      <c r="T80" s="508">
        <f t="shared" si="22"/>
        <v>-10766.946706593037</v>
      </c>
      <c r="U80" s="508">
        <f t="shared" si="22"/>
        <v>-10982.285640724896</v>
      </c>
      <c r="V80" s="508">
        <f t="shared" si="22"/>
        <v>-11201.931353539394</v>
      </c>
      <c r="W80" s="508">
        <f t="shared" si="22"/>
        <v>-11425.969980610183</v>
      </c>
      <c r="X80" s="508">
        <f t="shared" si="22"/>
        <v>0</v>
      </c>
      <c r="Y80" s="508">
        <f t="shared" si="22"/>
        <v>0</v>
      </c>
      <c r="Z80" s="508">
        <f t="shared" si="22"/>
        <v>0</v>
      </c>
      <c r="AA80" s="508">
        <f t="shared" si="22"/>
        <v>0</v>
      </c>
      <c r="AB80" s="508">
        <f t="shared" si="22"/>
        <v>0</v>
      </c>
      <c r="AC80" s="508">
        <f t="shared" si="22"/>
        <v>0</v>
      </c>
      <c r="AD80" s="508">
        <f t="shared" si="22"/>
        <v>0</v>
      </c>
      <c r="AE80" s="508">
        <f t="shared" si="22"/>
        <v>0</v>
      </c>
      <c r="AF80" s="508">
        <f t="shared" si="22"/>
        <v>0</v>
      </c>
      <c r="AG80" s="508">
        <f t="shared" si="22"/>
        <v>0</v>
      </c>
      <c r="AH80" s="508">
        <f t="shared" si="22"/>
        <v>0</v>
      </c>
      <c r="AI80" s="508">
        <f t="shared" si="22"/>
        <v>0</v>
      </c>
      <c r="AJ80" s="508">
        <f t="shared" si="22"/>
        <v>0</v>
      </c>
      <c r="AK80" s="508">
        <f t="shared" si="22"/>
        <v>0</v>
      </c>
      <c r="AL80" s="508">
        <f t="shared" si="22"/>
        <v>0</v>
      </c>
      <c r="AM80" s="508">
        <f t="shared" si="22"/>
        <v>0</v>
      </c>
      <c r="AN80" s="508">
        <f t="shared" si="22"/>
        <v>0</v>
      </c>
      <c r="AO80" s="508">
        <f t="shared" si="22"/>
        <v>0</v>
      </c>
      <c r="AP80" s="508">
        <f t="shared" si="22"/>
        <v>0</v>
      </c>
      <c r="AQ80" s="509">
        <f t="shared" si="22"/>
        <v>0</v>
      </c>
      <c r="AR80" s="19"/>
    </row>
    <row r="81" spans="1:45" s="1" customFormat="1" x14ac:dyDescent="0.3">
      <c r="B81" s="361" t="s">
        <v>185</v>
      </c>
      <c r="C81" s="504"/>
      <c r="D81" s="508">
        <f t="shared" ref="D81:AQ81" si="23">-IF(AND($C$24&gt;=D71,D71&gt;$C$42),$C$13*$C$41)*(1+$C$30)^(D71)</f>
        <v>0</v>
      </c>
      <c r="E81" s="508">
        <f t="shared" si="23"/>
        <v>0</v>
      </c>
      <c r="F81" s="508">
        <f t="shared" si="23"/>
        <v>-9023.2526474999995</v>
      </c>
      <c r="G81" s="508">
        <f t="shared" si="23"/>
        <v>-9203.717700449999</v>
      </c>
      <c r="H81" s="508">
        <f t="shared" si="23"/>
        <v>-9387.7920544589997</v>
      </c>
      <c r="I81" s="508">
        <f t="shared" si="23"/>
        <v>-9575.5478955481813</v>
      </c>
      <c r="J81" s="508">
        <f t="shared" si="23"/>
        <v>-9767.0588534591425</v>
      </c>
      <c r="K81" s="508">
        <f t="shared" si="23"/>
        <v>-9962.4000305283262</v>
      </c>
      <c r="L81" s="508">
        <f t="shared" si="23"/>
        <v>-10161.648031138893</v>
      </c>
      <c r="M81" s="508">
        <f t="shared" si="23"/>
        <v>-10364.880991761671</v>
      </c>
      <c r="N81" s="508">
        <f t="shared" si="23"/>
        <v>-10572.178611596903</v>
      </c>
      <c r="O81" s="508">
        <f t="shared" si="23"/>
        <v>-10783.622183828842</v>
      </c>
      <c r="P81" s="508">
        <f t="shared" si="23"/>
        <v>-10999.294627505418</v>
      </c>
      <c r="Q81" s="508">
        <f t="shared" si="23"/>
        <v>-11219.280520055527</v>
      </c>
      <c r="R81" s="508">
        <f t="shared" si="23"/>
        <v>-11443.666130456635</v>
      </c>
      <c r="S81" s="508">
        <f t="shared" si="23"/>
        <v>-11672.53945306577</v>
      </c>
      <c r="T81" s="508">
        <f t="shared" si="23"/>
        <v>-11905.990242127085</v>
      </c>
      <c r="U81" s="508">
        <f t="shared" si="23"/>
        <v>-12144.110046969627</v>
      </c>
      <c r="V81" s="508">
        <f t="shared" si="23"/>
        <v>-12386.992247909018</v>
      </c>
      <c r="W81" s="508">
        <f t="shared" si="23"/>
        <v>-12634.7320928672</v>
      </c>
      <c r="X81" s="508">
        <f t="shared" si="23"/>
        <v>0</v>
      </c>
      <c r="Y81" s="508">
        <f t="shared" si="23"/>
        <v>0</v>
      </c>
      <c r="Z81" s="508">
        <f t="shared" si="23"/>
        <v>0</v>
      </c>
      <c r="AA81" s="508">
        <f t="shared" si="23"/>
        <v>0</v>
      </c>
      <c r="AB81" s="508">
        <f t="shared" si="23"/>
        <v>0</v>
      </c>
      <c r="AC81" s="508">
        <f t="shared" si="23"/>
        <v>0</v>
      </c>
      <c r="AD81" s="508">
        <f t="shared" si="23"/>
        <v>0</v>
      </c>
      <c r="AE81" s="508">
        <f t="shared" si="23"/>
        <v>0</v>
      </c>
      <c r="AF81" s="508">
        <f t="shared" si="23"/>
        <v>0</v>
      </c>
      <c r="AG81" s="508">
        <f t="shared" si="23"/>
        <v>0</v>
      </c>
      <c r="AH81" s="508">
        <f t="shared" si="23"/>
        <v>0</v>
      </c>
      <c r="AI81" s="508">
        <f t="shared" si="23"/>
        <v>0</v>
      </c>
      <c r="AJ81" s="508">
        <f t="shared" si="23"/>
        <v>0</v>
      </c>
      <c r="AK81" s="508">
        <f t="shared" si="23"/>
        <v>0</v>
      </c>
      <c r="AL81" s="508">
        <f t="shared" si="23"/>
        <v>0</v>
      </c>
      <c r="AM81" s="508">
        <f t="shared" si="23"/>
        <v>0</v>
      </c>
      <c r="AN81" s="508">
        <f t="shared" si="23"/>
        <v>0</v>
      </c>
      <c r="AO81" s="508">
        <f t="shared" si="23"/>
        <v>0</v>
      </c>
      <c r="AP81" s="508">
        <f t="shared" si="23"/>
        <v>0</v>
      </c>
      <c r="AQ81" s="509">
        <f t="shared" si="23"/>
        <v>0</v>
      </c>
      <c r="AR81" s="19"/>
    </row>
    <row r="82" spans="1:45" s="1" customFormat="1" x14ac:dyDescent="0.3">
      <c r="B82" s="361" t="s">
        <v>188</v>
      </c>
      <c r="C82" s="504"/>
      <c r="D82" s="508">
        <f>-IF($C$24&gt;=D71,$C$12*$C$43*(1+$C$30)^(D71),0)</f>
        <v>-11129.411764705883</v>
      </c>
      <c r="E82" s="508">
        <f t="shared" ref="E82:AQ82" si="24">-IF($C$24&gt;=E71,$C$12*$C$43*(1+$C$30)^(E71),0)</f>
        <v>-11352</v>
      </c>
      <c r="F82" s="508">
        <f t="shared" si="24"/>
        <v>-11579.039999999999</v>
      </c>
      <c r="G82" s="508">
        <f t="shared" si="24"/>
        <v>-11810.620800000001</v>
      </c>
      <c r="H82" s="508">
        <f t="shared" si="24"/>
        <v>-12046.833216000001</v>
      </c>
      <c r="I82" s="508">
        <f t="shared" si="24"/>
        <v>-12287.76988032</v>
      </c>
      <c r="J82" s="508">
        <f t="shared" si="24"/>
        <v>-12533.525277926397</v>
      </c>
      <c r="K82" s="508">
        <f t="shared" si="24"/>
        <v>-12784.195783484927</v>
      </c>
      <c r="L82" s="508">
        <f t="shared" si="24"/>
        <v>-13039.879699154626</v>
      </c>
      <c r="M82" s="508">
        <f t="shared" si="24"/>
        <v>-13300.677293137718</v>
      </c>
      <c r="N82" s="508">
        <f t="shared" si="24"/>
        <v>-13566.69083900047</v>
      </c>
      <c r="O82" s="508">
        <f t="shared" si="24"/>
        <v>-13838.024655780482</v>
      </c>
      <c r="P82" s="508">
        <f t="shared" si="24"/>
        <v>-14114.785148896091</v>
      </c>
      <c r="Q82" s="508">
        <f t="shared" si="24"/>
        <v>-14397.080851874014</v>
      </c>
      <c r="R82" s="508">
        <f t="shared" si="24"/>
        <v>-14685.022468911491</v>
      </c>
      <c r="S82" s="508">
        <f t="shared" si="24"/>
        <v>-14978.722918289723</v>
      </c>
      <c r="T82" s="508">
        <f t="shared" si="24"/>
        <v>-15278.297376655519</v>
      </c>
      <c r="U82" s="508">
        <f t="shared" si="24"/>
        <v>-15583.863324188627</v>
      </c>
      <c r="V82" s="508">
        <f t="shared" si="24"/>
        <v>-15895.540590672399</v>
      </c>
      <c r="W82" s="508">
        <f t="shared" si="24"/>
        <v>-16213.451402485849</v>
      </c>
      <c r="X82" s="508">
        <f t="shared" si="24"/>
        <v>0</v>
      </c>
      <c r="Y82" s="508">
        <f t="shared" si="24"/>
        <v>0</v>
      </c>
      <c r="Z82" s="508">
        <f t="shared" si="24"/>
        <v>0</v>
      </c>
      <c r="AA82" s="508">
        <f t="shared" si="24"/>
        <v>0</v>
      </c>
      <c r="AB82" s="508">
        <f t="shared" si="24"/>
        <v>0</v>
      </c>
      <c r="AC82" s="508">
        <f t="shared" si="24"/>
        <v>0</v>
      </c>
      <c r="AD82" s="508">
        <f t="shared" si="24"/>
        <v>0</v>
      </c>
      <c r="AE82" s="508">
        <f t="shared" si="24"/>
        <v>0</v>
      </c>
      <c r="AF82" s="508">
        <f t="shared" si="24"/>
        <v>0</v>
      </c>
      <c r="AG82" s="508">
        <f t="shared" si="24"/>
        <v>0</v>
      </c>
      <c r="AH82" s="508">
        <f t="shared" si="24"/>
        <v>0</v>
      </c>
      <c r="AI82" s="508">
        <f t="shared" si="24"/>
        <v>0</v>
      </c>
      <c r="AJ82" s="508">
        <f t="shared" si="24"/>
        <v>0</v>
      </c>
      <c r="AK82" s="508">
        <f t="shared" si="24"/>
        <v>0</v>
      </c>
      <c r="AL82" s="508">
        <f t="shared" si="24"/>
        <v>0</v>
      </c>
      <c r="AM82" s="508">
        <f t="shared" si="24"/>
        <v>0</v>
      </c>
      <c r="AN82" s="508">
        <f t="shared" si="24"/>
        <v>0</v>
      </c>
      <c r="AO82" s="508">
        <f t="shared" si="24"/>
        <v>0</v>
      </c>
      <c r="AP82" s="508">
        <f t="shared" si="24"/>
        <v>0</v>
      </c>
      <c r="AQ82" s="509">
        <f t="shared" si="24"/>
        <v>0</v>
      </c>
      <c r="AR82" s="19"/>
    </row>
    <row r="83" spans="1:45" s="242" customFormat="1" x14ac:dyDescent="0.3">
      <c r="B83" s="510" t="s">
        <v>105</v>
      </c>
      <c r="C83" s="482"/>
      <c r="D83" s="511">
        <f t="shared" ref="D83:AQ83" si="25">-D201</f>
        <v>0</v>
      </c>
      <c r="E83" s="511">
        <f t="shared" si="25"/>
        <v>0</v>
      </c>
      <c r="F83" s="511">
        <f t="shared" si="25"/>
        <v>0</v>
      </c>
      <c r="G83" s="511">
        <f t="shared" si="25"/>
        <v>0</v>
      </c>
      <c r="H83" s="511">
        <f t="shared" si="25"/>
        <v>0</v>
      </c>
      <c r="I83" s="511">
        <f t="shared" si="25"/>
        <v>0</v>
      </c>
      <c r="J83" s="511">
        <f t="shared" si="25"/>
        <v>0</v>
      </c>
      <c r="K83" s="511">
        <f t="shared" si="25"/>
        <v>0</v>
      </c>
      <c r="L83" s="511">
        <f t="shared" si="25"/>
        <v>0</v>
      </c>
      <c r="M83" s="511">
        <f t="shared" si="25"/>
        <v>0</v>
      </c>
      <c r="N83" s="511">
        <f t="shared" si="25"/>
        <v>0</v>
      </c>
      <c r="O83" s="511">
        <f t="shared" si="25"/>
        <v>0</v>
      </c>
      <c r="P83" s="511">
        <f t="shared" si="25"/>
        <v>0</v>
      </c>
      <c r="Q83" s="511">
        <f t="shared" si="25"/>
        <v>0</v>
      </c>
      <c r="R83" s="511">
        <f t="shared" si="25"/>
        <v>0</v>
      </c>
      <c r="S83" s="511">
        <f t="shared" si="25"/>
        <v>0</v>
      </c>
      <c r="T83" s="511">
        <f t="shared" si="25"/>
        <v>0</v>
      </c>
      <c r="U83" s="511">
        <f t="shared" si="25"/>
        <v>0</v>
      </c>
      <c r="V83" s="511">
        <f t="shared" si="25"/>
        <v>0</v>
      </c>
      <c r="W83" s="511">
        <f t="shared" si="25"/>
        <v>0</v>
      </c>
      <c r="X83" s="511">
        <f t="shared" si="25"/>
        <v>0</v>
      </c>
      <c r="Y83" s="511">
        <f t="shared" si="25"/>
        <v>0</v>
      </c>
      <c r="Z83" s="511">
        <f t="shared" si="25"/>
        <v>0</v>
      </c>
      <c r="AA83" s="511">
        <f t="shared" si="25"/>
        <v>0</v>
      </c>
      <c r="AB83" s="511">
        <f t="shared" si="25"/>
        <v>0</v>
      </c>
      <c r="AC83" s="511">
        <f t="shared" si="25"/>
        <v>0</v>
      </c>
      <c r="AD83" s="511">
        <f t="shared" si="25"/>
        <v>0</v>
      </c>
      <c r="AE83" s="511">
        <f t="shared" si="25"/>
        <v>0</v>
      </c>
      <c r="AF83" s="511">
        <f t="shared" si="25"/>
        <v>0</v>
      </c>
      <c r="AG83" s="511">
        <f t="shared" si="25"/>
        <v>0</v>
      </c>
      <c r="AH83" s="511">
        <f t="shared" si="25"/>
        <v>0</v>
      </c>
      <c r="AI83" s="511">
        <f t="shared" si="25"/>
        <v>0</v>
      </c>
      <c r="AJ83" s="511">
        <f t="shared" si="25"/>
        <v>0</v>
      </c>
      <c r="AK83" s="511">
        <f t="shared" si="25"/>
        <v>0</v>
      </c>
      <c r="AL83" s="511">
        <f t="shared" si="25"/>
        <v>0</v>
      </c>
      <c r="AM83" s="511">
        <f t="shared" si="25"/>
        <v>0</v>
      </c>
      <c r="AN83" s="511">
        <f t="shared" si="25"/>
        <v>0</v>
      </c>
      <c r="AO83" s="511">
        <f t="shared" si="25"/>
        <v>0</v>
      </c>
      <c r="AP83" s="511">
        <f t="shared" si="25"/>
        <v>0</v>
      </c>
      <c r="AQ83" s="512">
        <f t="shared" si="25"/>
        <v>0</v>
      </c>
    </row>
    <row r="84" spans="1:45" s="242" customFormat="1" x14ac:dyDescent="0.3">
      <c r="A84" s="513"/>
      <c r="B84" s="510" t="s">
        <v>253</v>
      </c>
      <c r="C84" s="482"/>
      <c r="D84" s="511">
        <f t="shared" ref="D84:AQ84" si="26">IF($C$24&gt;=D71,-D73*$C$31)*(1+$C$32)^(D71)</f>
        <v>0</v>
      </c>
      <c r="E84" s="511">
        <f t="shared" si="26"/>
        <v>0</v>
      </c>
      <c r="F84" s="511">
        <f t="shared" si="26"/>
        <v>0</v>
      </c>
      <c r="G84" s="511">
        <f t="shared" si="26"/>
        <v>0</v>
      </c>
      <c r="H84" s="511">
        <f t="shared" si="26"/>
        <v>0</v>
      </c>
      <c r="I84" s="511">
        <f t="shared" si="26"/>
        <v>0</v>
      </c>
      <c r="J84" s="511">
        <f t="shared" si="26"/>
        <v>0</v>
      </c>
      <c r="K84" s="511">
        <f t="shared" si="26"/>
        <v>0</v>
      </c>
      <c r="L84" s="511">
        <f t="shared" si="26"/>
        <v>0</v>
      </c>
      <c r="M84" s="511">
        <f t="shared" si="26"/>
        <v>0</v>
      </c>
      <c r="N84" s="511">
        <f t="shared" si="26"/>
        <v>0</v>
      </c>
      <c r="O84" s="511">
        <f t="shared" si="26"/>
        <v>0</v>
      </c>
      <c r="P84" s="511">
        <f t="shared" si="26"/>
        <v>0</v>
      </c>
      <c r="Q84" s="511">
        <f t="shared" si="26"/>
        <v>0</v>
      </c>
      <c r="R84" s="511">
        <f t="shared" si="26"/>
        <v>0</v>
      </c>
      <c r="S84" s="511">
        <f t="shared" si="26"/>
        <v>0</v>
      </c>
      <c r="T84" s="511">
        <f t="shared" si="26"/>
        <v>0</v>
      </c>
      <c r="U84" s="511">
        <f t="shared" si="26"/>
        <v>0</v>
      </c>
      <c r="V84" s="511">
        <f t="shared" si="26"/>
        <v>0</v>
      </c>
      <c r="W84" s="511">
        <f t="shared" si="26"/>
        <v>0</v>
      </c>
      <c r="X84" s="511">
        <f t="shared" si="26"/>
        <v>0</v>
      </c>
      <c r="Y84" s="511">
        <f t="shared" si="26"/>
        <v>0</v>
      </c>
      <c r="Z84" s="511">
        <f t="shared" si="26"/>
        <v>0</v>
      </c>
      <c r="AA84" s="511">
        <f t="shared" si="26"/>
        <v>0</v>
      </c>
      <c r="AB84" s="511">
        <f t="shared" si="26"/>
        <v>0</v>
      </c>
      <c r="AC84" s="511">
        <f t="shared" si="26"/>
        <v>0</v>
      </c>
      <c r="AD84" s="511">
        <f t="shared" si="26"/>
        <v>0</v>
      </c>
      <c r="AE84" s="511">
        <f t="shared" si="26"/>
        <v>0</v>
      </c>
      <c r="AF84" s="511">
        <f t="shared" si="26"/>
        <v>0</v>
      </c>
      <c r="AG84" s="511">
        <f t="shared" si="26"/>
        <v>0</v>
      </c>
      <c r="AH84" s="511">
        <f t="shared" si="26"/>
        <v>0</v>
      </c>
      <c r="AI84" s="511">
        <f t="shared" si="26"/>
        <v>0</v>
      </c>
      <c r="AJ84" s="511">
        <f t="shared" si="26"/>
        <v>0</v>
      </c>
      <c r="AK84" s="511">
        <f t="shared" si="26"/>
        <v>0</v>
      </c>
      <c r="AL84" s="511">
        <f t="shared" si="26"/>
        <v>0</v>
      </c>
      <c r="AM84" s="511">
        <f t="shared" si="26"/>
        <v>0</v>
      </c>
      <c r="AN84" s="511">
        <f t="shared" si="26"/>
        <v>0</v>
      </c>
      <c r="AO84" s="511">
        <f t="shared" si="26"/>
        <v>0</v>
      </c>
      <c r="AP84" s="511">
        <f t="shared" si="26"/>
        <v>0</v>
      </c>
      <c r="AQ84" s="512">
        <f t="shared" si="26"/>
        <v>0</v>
      </c>
    </row>
    <row r="85" spans="1:45" s="513" customFormat="1" x14ac:dyDescent="0.3">
      <c r="A85" s="242"/>
      <c r="B85" s="510" t="s">
        <v>93</v>
      </c>
      <c r="C85" s="482"/>
      <c r="D85" s="511">
        <f t="shared" ref="D85:AQ85" si="27">-$C$33*(1+$C$34)^(D71)*$C$35*(1+$C$23)^(D71)/1000*D73</f>
        <v>0</v>
      </c>
      <c r="E85" s="511">
        <f t="shared" si="27"/>
        <v>0</v>
      </c>
      <c r="F85" s="511">
        <f t="shared" si="27"/>
        <v>0</v>
      </c>
      <c r="G85" s="511">
        <f t="shared" si="27"/>
        <v>0</v>
      </c>
      <c r="H85" s="511">
        <f t="shared" si="27"/>
        <v>0</v>
      </c>
      <c r="I85" s="511">
        <f t="shared" si="27"/>
        <v>0</v>
      </c>
      <c r="J85" s="511">
        <f t="shared" si="27"/>
        <v>0</v>
      </c>
      <c r="K85" s="511">
        <f t="shared" si="27"/>
        <v>0</v>
      </c>
      <c r="L85" s="511">
        <f t="shared" si="27"/>
        <v>0</v>
      </c>
      <c r="M85" s="511">
        <f t="shared" si="27"/>
        <v>0</v>
      </c>
      <c r="N85" s="511">
        <f t="shared" si="27"/>
        <v>0</v>
      </c>
      <c r="O85" s="511">
        <f t="shared" si="27"/>
        <v>0</v>
      </c>
      <c r="P85" s="511">
        <f t="shared" si="27"/>
        <v>0</v>
      </c>
      <c r="Q85" s="511">
        <f t="shared" si="27"/>
        <v>0</v>
      </c>
      <c r="R85" s="511">
        <f t="shared" si="27"/>
        <v>0</v>
      </c>
      <c r="S85" s="511">
        <f t="shared" si="27"/>
        <v>0</v>
      </c>
      <c r="T85" s="511">
        <f t="shared" si="27"/>
        <v>0</v>
      </c>
      <c r="U85" s="511">
        <f t="shared" si="27"/>
        <v>0</v>
      </c>
      <c r="V85" s="511">
        <f t="shared" si="27"/>
        <v>0</v>
      </c>
      <c r="W85" s="511">
        <f t="shared" si="27"/>
        <v>0</v>
      </c>
      <c r="X85" s="511">
        <f t="shared" si="27"/>
        <v>0</v>
      </c>
      <c r="Y85" s="511">
        <f t="shared" si="27"/>
        <v>0</v>
      </c>
      <c r="Z85" s="511">
        <f t="shared" si="27"/>
        <v>0</v>
      </c>
      <c r="AA85" s="511">
        <f t="shared" si="27"/>
        <v>0</v>
      </c>
      <c r="AB85" s="511">
        <f t="shared" si="27"/>
        <v>0</v>
      </c>
      <c r="AC85" s="511">
        <f t="shared" si="27"/>
        <v>0</v>
      </c>
      <c r="AD85" s="511">
        <f t="shared" si="27"/>
        <v>0</v>
      </c>
      <c r="AE85" s="511">
        <f t="shared" si="27"/>
        <v>0</v>
      </c>
      <c r="AF85" s="511">
        <f t="shared" si="27"/>
        <v>0</v>
      </c>
      <c r="AG85" s="511">
        <f t="shared" si="27"/>
        <v>0</v>
      </c>
      <c r="AH85" s="511">
        <f t="shared" si="27"/>
        <v>0</v>
      </c>
      <c r="AI85" s="511">
        <f t="shared" si="27"/>
        <v>0</v>
      </c>
      <c r="AJ85" s="511">
        <f t="shared" si="27"/>
        <v>0</v>
      </c>
      <c r="AK85" s="511">
        <f t="shared" si="27"/>
        <v>0</v>
      </c>
      <c r="AL85" s="511">
        <f t="shared" si="27"/>
        <v>0</v>
      </c>
      <c r="AM85" s="511">
        <f t="shared" si="27"/>
        <v>0</v>
      </c>
      <c r="AN85" s="511">
        <f t="shared" si="27"/>
        <v>0</v>
      </c>
      <c r="AO85" s="511">
        <f t="shared" si="27"/>
        <v>0</v>
      </c>
      <c r="AP85" s="511">
        <f t="shared" si="27"/>
        <v>0</v>
      </c>
      <c r="AQ85" s="512">
        <f t="shared" si="27"/>
        <v>0</v>
      </c>
      <c r="AR85" s="242"/>
    </row>
    <row r="86" spans="1:45" s="242" customFormat="1" x14ac:dyDescent="0.3">
      <c r="B86" s="510" t="s">
        <v>254</v>
      </c>
      <c r="C86" s="482"/>
      <c r="D86" s="511">
        <f t="shared" ref="D86:AQ86" si="28">-IF($C$24&gt;=D71,$C$38*(1+$C$37)^(D71)/2000*$C$35*(1+$C$23)^(D71)/1000*$C$36*D73,0)</f>
        <v>0</v>
      </c>
      <c r="E86" s="511">
        <f t="shared" si="28"/>
        <v>0</v>
      </c>
      <c r="F86" s="511">
        <f t="shared" si="28"/>
        <v>0</v>
      </c>
      <c r="G86" s="511">
        <f t="shared" si="28"/>
        <v>0</v>
      </c>
      <c r="H86" s="511">
        <f t="shared" si="28"/>
        <v>0</v>
      </c>
      <c r="I86" s="511">
        <f t="shared" si="28"/>
        <v>0</v>
      </c>
      <c r="J86" s="511">
        <f t="shared" si="28"/>
        <v>0</v>
      </c>
      <c r="K86" s="511">
        <f t="shared" si="28"/>
        <v>0</v>
      </c>
      <c r="L86" s="511">
        <f t="shared" si="28"/>
        <v>0</v>
      </c>
      <c r="M86" s="511">
        <f t="shared" si="28"/>
        <v>0</v>
      </c>
      <c r="N86" s="511">
        <f t="shared" si="28"/>
        <v>0</v>
      </c>
      <c r="O86" s="511">
        <f t="shared" si="28"/>
        <v>0</v>
      </c>
      <c r="P86" s="511">
        <f t="shared" si="28"/>
        <v>0</v>
      </c>
      <c r="Q86" s="511">
        <f t="shared" si="28"/>
        <v>0</v>
      </c>
      <c r="R86" s="511">
        <f t="shared" si="28"/>
        <v>0</v>
      </c>
      <c r="S86" s="511">
        <f t="shared" si="28"/>
        <v>0</v>
      </c>
      <c r="T86" s="511">
        <f t="shared" si="28"/>
        <v>0</v>
      </c>
      <c r="U86" s="511">
        <f t="shared" si="28"/>
        <v>0</v>
      </c>
      <c r="V86" s="511">
        <f t="shared" si="28"/>
        <v>0</v>
      </c>
      <c r="W86" s="511">
        <f t="shared" si="28"/>
        <v>0</v>
      </c>
      <c r="X86" s="511">
        <f t="shared" si="28"/>
        <v>0</v>
      </c>
      <c r="Y86" s="511">
        <f t="shared" si="28"/>
        <v>0</v>
      </c>
      <c r="Z86" s="511">
        <f t="shared" si="28"/>
        <v>0</v>
      </c>
      <c r="AA86" s="511">
        <f t="shared" si="28"/>
        <v>0</v>
      </c>
      <c r="AB86" s="511">
        <f t="shared" si="28"/>
        <v>0</v>
      </c>
      <c r="AC86" s="511">
        <f t="shared" si="28"/>
        <v>0</v>
      </c>
      <c r="AD86" s="511">
        <f t="shared" si="28"/>
        <v>0</v>
      </c>
      <c r="AE86" s="511">
        <f t="shared" si="28"/>
        <v>0</v>
      </c>
      <c r="AF86" s="511">
        <f t="shared" si="28"/>
        <v>0</v>
      </c>
      <c r="AG86" s="511">
        <f t="shared" si="28"/>
        <v>0</v>
      </c>
      <c r="AH86" s="511">
        <f t="shared" si="28"/>
        <v>0</v>
      </c>
      <c r="AI86" s="511">
        <f t="shared" si="28"/>
        <v>0</v>
      </c>
      <c r="AJ86" s="511">
        <f t="shared" si="28"/>
        <v>0</v>
      </c>
      <c r="AK86" s="511">
        <f t="shared" si="28"/>
        <v>0</v>
      </c>
      <c r="AL86" s="511">
        <f t="shared" si="28"/>
        <v>0</v>
      </c>
      <c r="AM86" s="511">
        <f t="shared" si="28"/>
        <v>0</v>
      </c>
      <c r="AN86" s="511">
        <f t="shared" si="28"/>
        <v>0</v>
      </c>
      <c r="AO86" s="511">
        <f t="shared" si="28"/>
        <v>0</v>
      </c>
      <c r="AP86" s="511">
        <f t="shared" si="28"/>
        <v>0</v>
      </c>
      <c r="AQ86" s="512">
        <f t="shared" si="28"/>
        <v>0</v>
      </c>
    </row>
    <row r="87" spans="1:45" s="242" customFormat="1" x14ac:dyDescent="0.3">
      <c r="A87" s="514"/>
      <c r="B87" s="510" t="s">
        <v>104</v>
      </c>
      <c r="C87" s="515"/>
      <c r="D87" s="511">
        <f t="shared" ref="D87:AQ87" si="29">-$C$39*$C$13*MAX((1-(D$71-1)/$C$24),0)</f>
        <v>0</v>
      </c>
      <c r="E87" s="511">
        <f t="shared" si="29"/>
        <v>0</v>
      </c>
      <c r="F87" s="511">
        <f t="shared" si="29"/>
        <v>0</v>
      </c>
      <c r="G87" s="511">
        <f t="shared" si="29"/>
        <v>0</v>
      </c>
      <c r="H87" s="511">
        <f t="shared" si="29"/>
        <v>0</v>
      </c>
      <c r="I87" s="511">
        <f t="shared" si="29"/>
        <v>0</v>
      </c>
      <c r="J87" s="511">
        <f t="shared" si="29"/>
        <v>0</v>
      </c>
      <c r="K87" s="511">
        <f t="shared" si="29"/>
        <v>0</v>
      </c>
      <c r="L87" s="511">
        <f t="shared" si="29"/>
        <v>0</v>
      </c>
      <c r="M87" s="511">
        <f t="shared" si="29"/>
        <v>0</v>
      </c>
      <c r="N87" s="511">
        <f t="shared" si="29"/>
        <v>0</v>
      </c>
      <c r="O87" s="511">
        <f t="shared" si="29"/>
        <v>0</v>
      </c>
      <c r="P87" s="511">
        <f t="shared" si="29"/>
        <v>0</v>
      </c>
      <c r="Q87" s="511">
        <f t="shared" si="29"/>
        <v>0</v>
      </c>
      <c r="R87" s="511">
        <f t="shared" si="29"/>
        <v>0</v>
      </c>
      <c r="S87" s="511">
        <f t="shared" si="29"/>
        <v>0</v>
      </c>
      <c r="T87" s="511">
        <f t="shared" si="29"/>
        <v>0</v>
      </c>
      <c r="U87" s="511">
        <f t="shared" si="29"/>
        <v>0</v>
      </c>
      <c r="V87" s="511">
        <f t="shared" si="29"/>
        <v>0</v>
      </c>
      <c r="W87" s="511">
        <f t="shared" si="29"/>
        <v>0</v>
      </c>
      <c r="X87" s="511">
        <f t="shared" si="29"/>
        <v>0</v>
      </c>
      <c r="Y87" s="511">
        <f t="shared" si="29"/>
        <v>0</v>
      </c>
      <c r="Z87" s="511">
        <f t="shared" si="29"/>
        <v>0</v>
      </c>
      <c r="AA87" s="511">
        <f t="shared" si="29"/>
        <v>0</v>
      </c>
      <c r="AB87" s="511">
        <f t="shared" si="29"/>
        <v>0</v>
      </c>
      <c r="AC87" s="511">
        <f t="shared" si="29"/>
        <v>0</v>
      </c>
      <c r="AD87" s="511">
        <f t="shared" si="29"/>
        <v>0</v>
      </c>
      <c r="AE87" s="511">
        <f t="shared" si="29"/>
        <v>0</v>
      </c>
      <c r="AF87" s="511">
        <f t="shared" si="29"/>
        <v>0</v>
      </c>
      <c r="AG87" s="511">
        <f t="shared" si="29"/>
        <v>0</v>
      </c>
      <c r="AH87" s="511">
        <f t="shared" si="29"/>
        <v>0</v>
      </c>
      <c r="AI87" s="511">
        <f t="shared" si="29"/>
        <v>0</v>
      </c>
      <c r="AJ87" s="511">
        <f t="shared" si="29"/>
        <v>0</v>
      </c>
      <c r="AK87" s="511">
        <f t="shared" si="29"/>
        <v>0</v>
      </c>
      <c r="AL87" s="511">
        <f t="shared" si="29"/>
        <v>0</v>
      </c>
      <c r="AM87" s="511">
        <f t="shared" si="29"/>
        <v>0</v>
      </c>
      <c r="AN87" s="511">
        <f t="shared" si="29"/>
        <v>0</v>
      </c>
      <c r="AO87" s="511">
        <f t="shared" si="29"/>
        <v>0</v>
      </c>
      <c r="AP87" s="511">
        <f t="shared" si="29"/>
        <v>0</v>
      </c>
      <c r="AQ87" s="512">
        <f t="shared" si="29"/>
        <v>0</v>
      </c>
    </row>
    <row r="88" spans="1:45" s="242" customFormat="1" x14ac:dyDescent="0.3">
      <c r="A88" s="516"/>
      <c r="B88" s="510" t="s">
        <v>255</v>
      </c>
      <c r="C88" s="515"/>
      <c r="D88" s="511">
        <f t="shared" ref="D88:AQ88" si="30">IF($C$24&gt;=D71,-$C$40*$C$13*(1+$C$30)^(D71),0)</f>
        <v>0</v>
      </c>
      <c r="E88" s="511">
        <f t="shared" si="30"/>
        <v>0</v>
      </c>
      <c r="F88" s="511">
        <f t="shared" si="30"/>
        <v>0</v>
      </c>
      <c r="G88" s="511">
        <f t="shared" si="30"/>
        <v>0</v>
      </c>
      <c r="H88" s="511">
        <f t="shared" si="30"/>
        <v>0</v>
      </c>
      <c r="I88" s="511">
        <f t="shared" si="30"/>
        <v>0</v>
      </c>
      <c r="J88" s="511">
        <f t="shared" si="30"/>
        <v>0</v>
      </c>
      <c r="K88" s="511">
        <f t="shared" si="30"/>
        <v>0</v>
      </c>
      <c r="L88" s="511">
        <f t="shared" si="30"/>
        <v>0</v>
      </c>
      <c r="M88" s="511">
        <f t="shared" si="30"/>
        <v>0</v>
      </c>
      <c r="N88" s="511">
        <f t="shared" si="30"/>
        <v>0</v>
      </c>
      <c r="O88" s="511">
        <f t="shared" si="30"/>
        <v>0</v>
      </c>
      <c r="P88" s="511">
        <f t="shared" si="30"/>
        <v>0</v>
      </c>
      <c r="Q88" s="511">
        <f t="shared" si="30"/>
        <v>0</v>
      </c>
      <c r="R88" s="511">
        <f t="shared" si="30"/>
        <v>0</v>
      </c>
      <c r="S88" s="511">
        <f t="shared" si="30"/>
        <v>0</v>
      </c>
      <c r="T88" s="511">
        <f t="shared" si="30"/>
        <v>0</v>
      </c>
      <c r="U88" s="511">
        <f t="shared" si="30"/>
        <v>0</v>
      </c>
      <c r="V88" s="511">
        <f t="shared" si="30"/>
        <v>0</v>
      </c>
      <c r="W88" s="511">
        <f t="shared" si="30"/>
        <v>0</v>
      </c>
      <c r="X88" s="511">
        <f t="shared" si="30"/>
        <v>0</v>
      </c>
      <c r="Y88" s="511">
        <f t="shared" si="30"/>
        <v>0</v>
      </c>
      <c r="Z88" s="511">
        <f t="shared" si="30"/>
        <v>0</v>
      </c>
      <c r="AA88" s="511">
        <f t="shared" si="30"/>
        <v>0</v>
      </c>
      <c r="AB88" s="511">
        <f t="shared" si="30"/>
        <v>0</v>
      </c>
      <c r="AC88" s="511">
        <f t="shared" si="30"/>
        <v>0</v>
      </c>
      <c r="AD88" s="511">
        <f t="shared" si="30"/>
        <v>0</v>
      </c>
      <c r="AE88" s="511">
        <f t="shared" si="30"/>
        <v>0</v>
      </c>
      <c r="AF88" s="511">
        <f t="shared" si="30"/>
        <v>0</v>
      </c>
      <c r="AG88" s="511">
        <f t="shared" si="30"/>
        <v>0</v>
      </c>
      <c r="AH88" s="511">
        <f t="shared" si="30"/>
        <v>0</v>
      </c>
      <c r="AI88" s="511">
        <f t="shared" si="30"/>
        <v>0</v>
      </c>
      <c r="AJ88" s="511">
        <f t="shared" si="30"/>
        <v>0</v>
      </c>
      <c r="AK88" s="511">
        <f t="shared" si="30"/>
        <v>0</v>
      </c>
      <c r="AL88" s="511">
        <f t="shared" si="30"/>
        <v>0</v>
      </c>
      <c r="AM88" s="511">
        <f t="shared" si="30"/>
        <v>0</v>
      </c>
      <c r="AN88" s="511">
        <f t="shared" si="30"/>
        <v>0</v>
      </c>
      <c r="AO88" s="511">
        <f t="shared" si="30"/>
        <v>0</v>
      </c>
      <c r="AP88" s="511">
        <f t="shared" si="30"/>
        <v>0</v>
      </c>
      <c r="AQ88" s="512">
        <f t="shared" si="30"/>
        <v>0</v>
      </c>
    </row>
    <row r="89" spans="1:45" s="1" customFormat="1" x14ac:dyDescent="0.3">
      <c r="B89" s="497" t="s">
        <v>256</v>
      </c>
      <c r="C89" s="505"/>
      <c r="D89" s="505">
        <f t="shared" ref="D89:AQ89" si="31">SUM(D80:D88)</f>
        <v>-18972.549019607843</v>
      </c>
      <c r="E89" s="505">
        <f t="shared" si="31"/>
        <v>-19352</v>
      </c>
      <c r="F89" s="505">
        <f t="shared" si="31"/>
        <v>-28762.292647499999</v>
      </c>
      <c r="G89" s="505">
        <f t="shared" si="31"/>
        <v>-29337.538500450002</v>
      </c>
      <c r="H89" s="505">
        <f t="shared" si="31"/>
        <v>-29924.289270458998</v>
      </c>
      <c r="I89" s="505">
        <f t="shared" si="31"/>
        <v>-30522.775055868184</v>
      </c>
      <c r="J89" s="505">
        <f t="shared" si="31"/>
        <v>-31133.230556985538</v>
      </c>
      <c r="K89" s="505">
        <f t="shared" si="31"/>
        <v>-31755.895168125255</v>
      </c>
      <c r="L89" s="505">
        <f t="shared" si="31"/>
        <v>-32391.01307148776</v>
      </c>
      <c r="M89" s="505">
        <f t="shared" si="31"/>
        <v>-33038.833332917515</v>
      </c>
      <c r="N89" s="505">
        <f t="shared" si="31"/>
        <v>-33699.609999575856</v>
      </c>
      <c r="O89" s="505">
        <f t="shared" si="31"/>
        <v>-34373.60219956738</v>
      </c>
      <c r="P89" s="505">
        <f t="shared" si="31"/>
        <v>-35061.074243558731</v>
      </c>
      <c r="Q89" s="505">
        <f t="shared" si="31"/>
        <v>-35762.295728429905</v>
      </c>
      <c r="R89" s="505">
        <f t="shared" si="31"/>
        <v>-36477.541642998491</v>
      </c>
      <c r="S89" s="505">
        <f t="shared" si="31"/>
        <v>-37207.092475858466</v>
      </c>
      <c r="T89" s="505">
        <f t="shared" si="31"/>
        <v>-37951.234325375641</v>
      </c>
      <c r="U89" s="505">
        <f t="shared" si="31"/>
        <v>-38710.25901188315</v>
      </c>
      <c r="V89" s="505">
        <f t="shared" si="31"/>
        <v>-39484.464192120809</v>
      </c>
      <c r="W89" s="505">
        <f t="shared" si="31"/>
        <v>-40274.153475963234</v>
      </c>
      <c r="X89" s="505">
        <f t="shared" si="31"/>
        <v>0</v>
      </c>
      <c r="Y89" s="505">
        <f t="shared" si="31"/>
        <v>0</v>
      </c>
      <c r="Z89" s="505">
        <f t="shared" si="31"/>
        <v>0</v>
      </c>
      <c r="AA89" s="505">
        <f t="shared" si="31"/>
        <v>0</v>
      </c>
      <c r="AB89" s="505">
        <f t="shared" si="31"/>
        <v>0</v>
      </c>
      <c r="AC89" s="505">
        <f t="shared" si="31"/>
        <v>0</v>
      </c>
      <c r="AD89" s="505">
        <f t="shared" si="31"/>
        <v>0</v>
      </c>
      <c r="AE89" s="505">
        <f t="shared" si="31"/>
        <v>0</v>
      </c>
      <c r="AF89" s="505">
        <f t="shared" si="31"/>
        <v>0</v>
      </c>
      <c r="AG89" s="505">
        <f t="shared" si="31"/>
        <v>0</v>
      </c>
      <c r="AH89" s="505">
        <f t="shared" si="31"/>
        <v>0</v>
      </c>
      <c r="AI89" s="505">
        <f t="shared" si="31"/>
        <v>0</v>
      </c>
      <c r="AJ89" s="505">
        <f t="shared" si="31"/>
        <v>0</v>
      </c>
      <c r="AK89" s="505">
        <f t="shared" si="31"/>
        <v>0</v>
      </c>
      <c r="AL89" s="505">
        <f t="shared" si="31"/>
        <v>0</v>
      </c>
      <c r="AM89" s="505">
        <f t="shared" si="31"/>
        <v>0</v>
      </c>
      <c r="AN89" s="505">
        <f t="shared" si="31"/>
        <v>0</v>
      </c>
      <c r="AO89" s="505">
        <f t="shared" si="31"/>
        <v>0</v>
      </c>
      <c r="AP89" s="505">
        <f t="shared" si="31"/>
        <v>0</v>
      </c>
      <c r="AQ89" s="506">
        <f t="shared" si="31"/>
        <v>0</v>
      </c>
      <c r="AR89" s="19"/>
    </row>
    <row r="90" spans="1:45" s="1" customFormat="1" x14ac:dyDescent="0.3">
      <c r="B90" s="497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505"/>
      <c r="Q90" s="505"/>
      <c r="R90" s="505"/>
      <c r="S90" s="505"/>
      <c r="T90" s="505"/>
      <c r="U90" s="505"/>
      <c r="V90" s="505"/>
      <c r="W90" s="505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6"/>
      <c r="AR90" s="19"/>
    </row>
    <row r="91" spans="1:45" s="1" customFormat="1" x14ac:dyDescent="0.3">
      <c r="B91" s="145" t="s">
        <v>257</v>
      </c>
      <c r="C91" s="517"/>
      <c r="D91" s="517">
        <f t="shared" ref="D91:AQ91" si="32">D78+D89</f>
        <v>125115.54623828946</v>
      </c>
      <c r="E91" s="517">
        <f t="shared" si="32"/>
        <v>127617.85716305522</v>
      </c>
      <c r="F91" s="517">
        <f t="shared" si="32"/>
        <v>121146.96165881632</v>
      </c>
      <c r="G91" s="517">
        <f t="shared" si="32"/>
        <v>123569.90089199267</v>
      </c>
      <c r="H91" s="517">
        <f t="shared" si="32"/>
        <v>126041.29890983252</v>
      </c>
      <c r="I91" s="517">
        <f t="shared" si="32"/>
        <v>128562.12488802917</v>
      </c>
      <c r="J91" s="517">
        <f t="shared" si="32"/>
        <v>131133.36738578972</v>
      </c>
      <c r="K91" s="517">
        <f t="shared" si="32"/>
        <v>133756.03473350554</v>
      </c>
      <c r="L91" s="517">
        <f t="shared" si="32"/>
        <v>136431.15542817564</v>
      </c>
      <c r="M91" s="517">
        <f t="shared" si="32"/>
        <v>139159.77853673918</v>
      </c>
      <c r="N91" s="517">
        <f t="shared" si="32"/>
        <v>141942.97410747394</v>
      </c>
      <c r="O91" s="517">
        <f t="shared" si="32"/>
        <v>144781.83358962345</v>
      </c>
      <c r="P91" s="517">
        <f t="shared" si="32"/>
        <v>147677.47026141587</v>
      </c>
      <c r="Q91" s="517">
        <f t="shared" si="32"/>
        <v>150631.01966664422</v>
      </c>
      <c r="R91" s="517">
        <f t="shared" si="32"/>
        <v>153643.64005997704</v>
      </c>
      <c r="S91" s="517">
        <f t="shared" si="32"/>
        <v>156716.51286117663</v>
      </c>
      <c r="T91" s="517">
        <f t="shared" si="32"/>
        <v>159850.8431184002</v>
      </c>
      <c r="U91" s="517">
        <f t="shared" si="32"/>
        <v>163047.85998076815</v>
      </c>
      <c r="V91" s="517">
        <f t="shared" si="32"/>
        <v>166308.81718038348</v>
      </c>
      <c r="W91" s="517">
        <f t="shared" si="32"/>
        <v>169634.9935239912</v>
      </c>
      <c r="X91" s="517">
        <f t="shared" si="32"/>
        <v>0</v>
      </c>
      <c r="Y91" s="517">
        <f t="shared" si="32"/>
        <v>0</v>
      </c>
      <c r="Z91" s="517">
        <f t="shared" si="32"/>
        <v>0</v>
      </c>
      <c r="AA91" s="517">
        <f t="shared" si="32"/>
        <v>0</v>
      </c>
      <c r="AB91" s="517">
        <f t="shared" si="32"/>
        <v>0</v>
      </c>
      <c r="AC91" s="517">
        <f t="shared" si="32"/>
        <v>0</v>
      </c>
      <c r="AD91" s="517">
        <f t="shared" si="32"/>
        <v>0</v>
      </c>
      <c r="AE91" s="517">
        <f t="shared" si="32"/>
        <v>0</v>
      </c>
      <c r="AF91" s="517">
        <f t="shared" si="32"/>
        <v>0</v>
      </c>
      <c r="AG91" s="517">
        <f t="shared" si="32"/>
        <v>0</v>
      </c>
      <c r="AH91" s="517">
        <f t="shared" si="32"/>
        <v>0</v>
      </c>
      <c r="AI91" s="517">
        <f t="shared" si="32"/>
        <v>0</v>
      </c>
      <c r="AJ91" s="517">
        <f t="shared" si="32"/>
        <v>0</v>
      </c>
      <c r="AK91" s="517">
        <f t="shared" si="32"/>
        <v>0</v>
      </c>
      <c r="AL91" s="517">
        <f t="shared" si="32"/>
        <v>0</v>
      </c>
      <c r="AM91" s="517">
        <f t="shared" si="32"/>
        <v>0</v>
      </c>
      <c r="AN91" s="517">
        <f t="shared" si="32"/>
        <v>0</v>
      </c>
      <c r="AO91" s="517">
        <f t="shared" si="32"/>
        <v>0</v>
      </c>
      <c r="AP91" s="517">
        <f t="shared" si="32"/>
        <v>0</v>
      </c>
      <c r="AQ91" s="518">
        <f t="shared" si="32"/>
        <v>0</v>
      </c>
      <c r="AR91" s="519"/>
    </row>
    <row r="92" spans="1:45" s="1" customFormat="1" x14ac:dyDescent="0.3">
      <c r="B92" s="146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1"/>
      <c r="AR92" s="519"/>
    </row>
    <row r="93" spans="1:45" s="1" customFormat="1" x14ac:dyDescent="0.3">
      <c r="B93" s="109" t="s">
        <v>258</v>
      </c>
      <c r="C93" s="522"/>
      <c r="D93" s="522">
        <f t="shared" ref="D93:AQ93" si="33">IF(AND(D$71&gt;0,$H$25&gt;=D$71),IPMT($H$23,D$71,$H$25,$H$31),0)</f>
        <v>-10458.546033418415</v>
      </c>
      <c r="E93" s="522">
        <f t="shared" si="33"/>
        <v>-10077.21517204856</v>
      </c>
      <c r="F93" s="522">
        <f t="shared" si="33"/>
        <v>-9677.8586999776835</v>
      </c>
      <c r="G93" s="522">
        <f t="shared" si="33"/>
        <v>-9259.6245418191374</v>
      </c>
      <c r="H93" s="522">
        <f t="shared" si="33"/>
        <v>-8821.6203443573213</v>
      </c>
      <c r="I93" s="522">
        <f t="shared" si="33"/>
        <v>-8362.9115726040454</v>
      </c>
      <c r="J93" s="522">
        <f t="shared" si="33"/>
        <v>-7882.5195158549996</v>
      </c>
      <c r="K93" s="522">
        <f t="shared" si="33"/>
        <v>-7379.4191994919493</v>
      </c>
      <c r="L93" s="522">
        <f t="shared" si="33"/>
        <v>-6852.5371980752916</v>
      </c>
      <c r="M93" s="522">
        <f t="shared" si="33"/>
        <v>-6300.7493450609127</v>
      </c>
      <c r="N93" s="522">
        <f t="shared" si="33"/>
        <v>-5722.878334254754</v>
      </c>
      <c r="O93" s="522">
        <f t="shared" si="33"/>
        <v>-5117.6912078874893</v>
      </c>
      <c r="P93" s="522">
        <f t="shared" si="33"/>
        <v>-4483.8967259498559</v>
      </c>
      <c r="Q93" s="522">
        <f t="shared" si="33"/>
        <v>-3820.1426111757414</v>
      </c>
      <c r="R93" s="522">
        <f t="shared" si="33"/>
        <v>-3125.0126637949106</v>
      </c>
      <c r="S93" s="522">
        <f t="shared" si="33"/>
        <v>-2397.0237398993222</v>
      </c>
      <c r="T93" s="522">
        <f t="shared" si="33"/>
        <v>-1634.6225869760244</v>
      </c>
      <c r="U93" s="522">
        <f t="shared" si="33"/>
        <v>-836.1825298548531</v>
      </c>
      <c r="V93" s="522">
        <f t="shared" si="33"/>
        <v>0</v>
      </c>
      <c r="W93" s="522">
        <f t="shared" si="33"/>
        <v>0</v>
      </c>
      <c r="X93" s="522">
        <f t="shared" si="33"/>
        <v>0</v>
      </c>
      <c r="Y93" s="522">
        <f t="shared" si="33"/>
        <v>0</v>
      </c>
      <c r="Z93" s="522">
        <f t="shared" si="33"/>
        <v>0</v>
      </c>
      <c r="AA93" s="522">
        <f t="shared" si="33"/>
        <v>0</v>
      </c>
      <c r="AB93" s="522">
        <f t="shared" si="33"/>
        <v>0</v>
      </c>
      <c r="AC93" s="522">
        <f t="shared" si="33"/>
        <v>0</v>
      </c>
      <c r="AD93" s="522">
        <f t="shared" si="33"/>
        <v>0</v>
      </c>
      <c r="AE93" s="522">
        <f t="shared" si="33"/>
        <v>0</v>
      </c>
      <c r="AF93" s="522">
        <f t="shared" si="33"/>
        <v>0</v>
      </c>
      <c r="AG93" s="522">
        <f t="shared" si="33"/>
        <v>0</v>
      </c>
      <c r="AH93" s="522">
        <f t="shared" si="33"/>
        <v>0</v>
      </c>
      <c r="AI93" s="522">
        <f t="shared" si="33"/>
        <v>0</v>
      </c>
      <c r="AJ93" s="522">
        <f t="shared" si="33"/>
        <v>0</v>
      </c>
      <c r="AK93" s="522">
        <f t="shared" si="33"/>
        <v>0</v>
      </c>
      <c r="AL93" s="522">
        <f t="shared" si="33"/>
        <v>0</v>
      </c>
      <c r="AM93" s="522">
        <f t="shared" si="33"/>
        <v>0</v>
      </c>
      <c r="AN93" s="522">
        <f t="shared" si="33"/>
        <v>0</v>
      </c>
      <c r="AO93" s="522">
        <f t="shared" si="33"/>
        <v>0</v>
      </c>
      <c r="AP93" s="522">
        <f t="shared" si="33"/>
        <v>0</v>
      </c>
      <c r="AQ93" s="523">
        <f t="shared" si="33"/>
        <v>0</v>
      </c>
      <c r="AR93" s="519"/>
    </row>
    <row r="94" spans="1:45" s="1" customFormat="1" x14ac:dyDescent="0.3">
      <c r="B94" s="144" t="s">
        <v>259</v>
      </c>
      <c r="C94" s="524"/>
      <c r="D94" s="522">
        <f t="shared" ref="D94:AQ94" si="34">IF(AND(D$71&gt;0,$H$25&gt;=D$71),PPMT($H$23,D$71,$H$25,$H$31),0)</f>
        <v>-8067.0346344983218</v>
      </c>
      <c r="E94" s="522">
        <f t="shared" si="34"/>
        <v>-8448.36549586818</v>
      </c>
      <c r="F94" s="522">
        <f t="shared" si="34"/>
        <v>-8847.7219679390546</v>
      </c>
      <c r="G94" s="522">
        <f t="shared" si="34"/>
        <v>-9265.9561260976006</v>
      </c>
      <c r="H94" s="522">
        <f t="shared" si="34"/>
        <v>-9703.9603235594204</v>
      </c>
      <c r="I94" s="522">
        <f t="shared" si="34"/>
        <v>-10162.669095312691</v>
      </c>
      <c r="J94" s="522">
        <f t="shared" si="34"/>
        <v>-10643.06115206174</v>
      </c>
      <c r="K94" s="522">
        <f t="shared" si="34"/>
        <v>-11146.161468424789</v>
      </c>
      <c r="L94" s="522">
        <f t="shared" si="34"/>
        <v>-11673.043469841446</v>
      </c>
      <c r="M94" s="522">
        <f t="shared" si="34"/>
        <v>-12224.831322855824</v>
      </c>
      <c r="N94" s="522">
        <f t="shared" si="34"/>
        <v>-12802.702333661984</v>
      </c>
      <c r="O94" s="522">
        <f t="shared" si="34"/>
        <v>-13407.889460029246</v>
      </c>
      <c r="P94" s="522">
        <f t="shared" si="34"/>
        <v>-14041.683941966883</v>
      </c>
      <c r="Q94" s="522">
        <f t="shared" si="34"/>
        <v>-14705.438056740997</v>
      </c>
      <c r="R94" s="522">
        <f t="shared" si="34"/>
        <v>-15400.568004121829</v>
      </c>
      <c r="S94" s="522">
        <f t="shared" si="34"/>
        <v>-16128.556928017415</v>
      </c>
      <c r="T94" s="522">
        <f t="shared" si="34"/>
        <v>-16890.958080940716</v>
      </c>
      <c r="U94" s="522">
        <f t="shared" si="34"/>
        <v>-17689.398138061886</v>
      </c>
      <c r="V94" s="522">
        <f t="shared" si="34"/>
        <v>0</v>
      </c>
      <c r="W94" s="522">
        <f t="shared" si="34"/>
        <v>0</v>
      </c>
      <c r="X94" s="522">
        <f t="shared" si="34"/>
        <v>0</v>
      </c>
      <c r="Y94" s="522">
        <f t="shared" si="34"/>
        <v>0</v>
      </c>
      <c r="Z94" s="522">
        <f t="shared" si="34"/>
        <v>0</v>
      </c>
      <c r="AA94" s="522">
        <f t="shared" si="34"/>
        <v>0</v>
      </c>
      <c r="AB94" s="522">
        <f t="shared" si="34"/>
        <v>0</v>
      </c>
      <c r="AC94" s="522">
        <f t="shared" si="34"/>
        <v>0</v>
      </c>
      <c r="AD94" s="522">
        <f t="shared" si="34"/>
        <v>0</v>
      </c>
      <c r="AE94" s="522">
        <f t="shared" si="34"/>
        <v>0</v>
      </c>
      <c r="AF94" s="522">
        <f t="shared" si="34"/>
        <v>0</v>
      </c>
      <c r="AG94" s="522">
        <f t="shared" si="34"/>
        <v>0</v>
      </c>
      <c r="AH94" s="522">
        <f t="shared" si="34"/>
        <v>0</v>
      </c>
      <c r="AI94" s="522">
        <f t="shared" si="34"/>
        <v>0</v>
      </c>
      <c r="AJ94" s="522">
        <f t="shared" si="34"/>
        <v>0</v>
      </c>
      <c r="AK94" s="522">
        <f t="shared" si="34"/>
        <v>0</v>
      </c>
      <c r="AL94" s="522">
        <f t="shared" si="34"/>
        <v>0</v>
      </c>
      <c r="AM94" s="522">
        <f t="shared" si="34"/>
        <v>0</v>
      </c>
      <c r="AN94" s="522">
        <f t="shared" si="34"/>
        <v>0</v>
      </c>
      <c r="AO94" s="522">
        <f t="shared" si="34"/>
        <v>0</v>
      </c>
      <c r="AP94" s="522">
        <f t="shared" si="34"/>
        <v>0</v>
      </c>
      <c r="AQ94" s="523">
        <f t="shared" si="34"/>
        <v>0</v>
      </c>
      <c r="AR94" s="519"/>
    </row>
    <row r="95" spans="1:45" s="1" customFormat="1" x14ac:dyDescent="0.3">
      <c r="B95" s="144" t="s">
        <v>260</v>
      </c>
      <c r="C95" s="522"/>
      <c r="D95" s="522">
        <f t="shared" ref="D95:AQ95" si="35">$C$14*(IF(D136=0,-1, IF(D136=$H$25, 1, 0)))</f>
        <v>0</v>
      </c>
      <c r="E95" s="522">
        <f t="shared" si="35"/>
        <v>0</v>
      </c>
      <c r="F95" s="522">
        <f t="shared" si="35"/>
        <v>0</v>
      </c>
      <c r="G95" s="522">
        <f t="shared" si="35"/>
        <v>0</v>
      </c>
      <c r="H95" s="522">
        <f t="shared" si="35"/>
        <v>0</v>
      </c>
      <c r="I95" s="522">
        <f t="shared" si="35"/>
        <v>0</v>
      </c>
      <c r="J95" s="522">
        <f t="shared" si="35"/>
        <v>0</v>
      </c>
      <c r="K95" s="522">
        <f t="shared" si="35"/>
        <v>0</v>
      </c>
      <c r="L95" s="522">
        <f t="shared" si="35"/>
        <v>0</v>
      </c>
      <c r="M95" s="522">
        <f t="shared" si="35"/>
        <v>0</v>
      </c>
      <c r="N95" s="522">
        <f t="shared" si="35"/>
        <v>0</v>
      </c>
      <c r="O95" s="522">
        <f t="shared" si="35"/>
        <v>0</v>
      </c>
      <c r="P95" s="522">
        <f t="shared" si="35"/>
        <v>0</v>
      </c>
      <c r="Q95" s="522">
        <f t="shared" si="35"/>
        <v>0</v>
      </c>
      <c r="R95" s="522">
        <f t="shared" si="35"/>
        <v>0</v>
      </c>
      <c r="S95" s="522">
        <f t="shared" si="35"/>
        <v>0</v>
      </c>
      <c r="T95" s="522">
        <f t="shared" si="35"/>
        <v>0</v>
      </c>
      <c r="U95" s="522">
        <f t="shared" si="35"/>
        <v>0</v>
      </c>
      <c r="V95" s="522">
        <f t="shared" si="35"/>
        <v>0</v>
      </c>
      <c r="W95" s="522">
        <f t="shared" si="35"/>
        <v>0</v>
      </c>
      <c r="X95" s="522">
        <f t="shared" si="35"/>
        <v>0</v>
      </c>
      <c r="Y95" s="522">
        <f t="shared" si="35"/>
        <v>0</v>
      </c>
      <c r="Z95" s="522">
        <f t="shared" si="35"/>
        <v>0</v>
      </c>
      <c r="AA95" s="522">
        <f t="shared" si="35"/>
        <v>0</v>
      </c>
      <c r="AB95" s="522">
        <f t="shared" si="35"/>
        <v>0</v>
      </c>
      <c r="AC95" s="522">
        <f t="shared" si="35"/>
        <v>0</v>
      </c>
      <c r="AD95" s="522">
        <f t="shared" si="35"/>
        <v>0</v>
      </c>
      <c r="AE95" s="522">
        <f t="shared" si="35"/>
        <v>0</v>
      </c>
      <c r="AF95" s="522">
        <f t="shared" si="35"/>
        <v>0</v>
      </c>
      <c r="AG95" s="522">
        <f t="shared" si="35"/>
        <v>0</v>
      </c>
      <c r="AH95" s="522">
        <f t="shared" si="35"/>
        <v>0</v>
      </c>
      <c r="AI95" s="522">
        <f t="shared" si="35"/>
        <v>0</v>
      </c>
      <c r="AJ95" s="522">
        <f t="shared" si="35"/>
        <v>0</v>
      </c>
      <c r="AK95" s="522">
        <f t="shared" si="35"/>
        <v>0</v>
      </c>
      <c r="AL95" s="522">
        <f t="shared" si="35"/>
        <v>0</v>
      </c>
      <c r="AM95" s="522">
        <f t="shared" si="35"/>
        <v>0</v>
      </c>
      <c r="AN95" s="522">
        <f t="shared" si="35"/>
        <v>0</v>
      </c>
      <c r="AO95" s="522">
        <f t="shared" si="35"/>
        <v>0</v>
      </c>
      <c r="AP95" s="522">
        <f t="shared" si="35"/>
        <v>0</v>
      </c>
      <c r="AQ95" s="523">
        <f t="shared" si="35"/>
        <v>0</v>
      </c>
      <c r="AR95" s="519"/>
      <c r="AS95" s="519"/>
    </row>
    <row r="96" spans="1:45" s="1" customFormat="1" x14ac:dyDescent="0.3">
      <c r="B96" s="144" t="s">
        <v>261</v>
      </c>
      <c r="C96" s="522"/>
      <c r="D96" s="522">
        <f t="shared" ref="D96:AQ96" si="36">D158</f>
        <v>0</v>
      </c>
      <c r="E96" s="522">
        <f t="shared" si="36"/>
        <v>0</v>
      </c>
      <c r="F96" s="522">
        <f t="shared" si="36"/>
        <v>0</v>
      </c>
      <c r="G96" s="522">
        <f t="shared" si="36"/>
        <v>0</v>
      </c>
      <c r="H96" s="522">
        <f t="shared" si="36"/>
        <v>0</v>
      </c>
      <c r="I96" s="522">
        <f t="shared" si="36"/>
        <v>0</v>
      </c>
      <c r="J96" s="522">
        <f t="shared" si="36"/>
        <v>0</v>
      </c>
      <c r="K96" s="522">
        <f t="shared" si="36"/>
        <v>0</v>
      </c>
      <c r="L96" s="522">
        <f t="shared" si="36"/>
        <v>0</v>
      </c>
      <c r="M96" s="522">
        <f t="shared" si="36"/>
        <v>0</v>
      </c>
      <c r="N96" s="522">
        <f t="shared" si="36"/>
        <v>0</v>
      </c>
      <c r="O96" s="522">
        <f t="shared" si="36"/>
        <v>0</v>
      </c>
      <c r="P96" s="522">
        <f t="shared" si="36"/>
        <v>0</v>
      </c>
      <c r="Q96" s="522">
        <f t="shared" si="36"/>
        <v>0</v>
      </c>
      <c r="R96" s="522">
        <f t="shared" si="36"/>
        <v>0</v>
      </c>
      <c r="S96" s="522">
        <f t="shared" si="36"/>
        <v>0</v>
      </c>
      <c r="T96" s="522">
        <f t="shared" si="36"/>
        <v>0</v>
      </c>
      <c r="U96" s="522">
        <f t="shared" si="36"/>
        <v>0</v>
      </c>
      <c r="V96" s="522">
        <f t="shared" si="36"/>
        <v>0</v>
      </c>
      <c r="W96" s="522">
        <f t="shared" si="36"/>
        <v>0</v>
      </c>
      <c r="X96" s="522">
        <f t="shared" si="36"/>
        <v>0</v>
      </c>
      <c r="Y96" s="522">
        <f t="shared" si="36"/>
        <v>0</v>
      </c>
      <c r="Z96" s="522">
        <f t="shared" si="36"/>
        <v>0</v>
      </c>
      <c r="AA96" s="522">
        <f t="shared" si="36"/>
        <v>0</v>
      </c>
      <c r="AB96" s="522">
        <f t="shared" si="36"/>
        <v>0</v>
      </c>
      <c r="AC96" s="522">
        <f t="shared" si="36"/>
        <v>0</v>
      </c>
      <c r="AD96" s="522">
        <f t="shared" si="36"/>
        <v>0</v>
      </c>
      <c r="AE96" s="522">
        <f t="shared" si="36"/>
        <v>0</v>
      </c>
      <c r="AF96" s="522">
        <f t="shared" si="36"/>
        <v>0</v>
      </c>
      <c r="AG96" s="522">
        <f t="shared" si="36"/>
        <v>0</v>
      </c>
      <c r="AH96" s="522">
        <f t="shared" si="36"/>
        <v>0</v>
      </c>
      <c r="AI96" s="522">
        <f t="shared" si="36"/>
        <v>0</v>
      </c>
      <c r="AJ96" s="522">
        <f t="shared" si="36"/>
        <v>0</v>
      </c>
      <c r="AK96" s="522">
        <f t="shared" si="36"/>
        <v>0</v>
      </c>
      <c r="AL96" s="522">
        <f t="shared" si="36"/>
        <v>0</v>
      </c>
      <c r="AM96" s="522">
        <f t="shared" si="36"/>
        <v>0</v>
      </c>
      <c r="AN96" s="522">
        <f t="shared" si="36"/>
        <v>0</v>
      </c>
      <c r="AO96" s="522">
        <f t="shared" si="36"/>
        <v>0</v>
      </c>
      <c r="AP96" s="522">
        <f t="shared" si="36"/>
        <v>0</v>
      </c>
      <c r="AQ96" s="523">
        <f t="shared" si="36"/>
        <v>0</v>
      </c>
      <c r="AR96" s="519"/>
      <c r="AS96" s="519"/>
    </row>
    <row r="97" spans="2:45" s="1" customFormat="1" x14ac:dyDescent="0.3">
      <c r="B97" s="525" t="s">
        <v>262</v>
      </c>
      <c r="C97" s="505"/>
      <c r="D97" s="505">
        <f t="shared" ref="D97:AQ97" si="37">D93+D94+D95+D96</f>
        <v>-18525.580667916736</v>
      </c>
      <c r="E97" s="505">
        <f t="shared" si="37"/>
        <v>-18525.58066791674</v>
      </c>
      <c r="F97" s="505">
        <f t="shared" si="37"/>
        <v>-18525.580667916736</v>
      </c>
      <c r="G97" s="505">
        <f t="shared" si="37"/>
        <v>-18525.580667916736</v>
      </c>
      <c r="H97" s="505">
        <f t="shared" si="37"/>
        <v>-18525.580667916744</v>
      </c>
      <c r="I97" s="505">
        <f t="shared" si="37"/>
        <v>-18525.580667916736</v>
      </c>
      <c r="J97" s="505">
        <f t="shared" si="37"/>
        <v>-18525.58066791674</v>
      </c>
      <c r="K97" s="505">
        <f t="shared" si="37"/>
        <v>-18525.580667916736</v>
      </c>
      <c r="L97" s="505">
        <f t="shared" si="37"/>
        <v>-18525.580667916736</v>
      </c>
      <c r="M97" s="505">
        <f t="shared" si="37"/>
        <v>-18525.580667916736</v>
      </c>
      <c r="N97" s="505">
        <f t="shared" si="37"/>
        <v>-18525.580667916736</v>
      </c>
      <c r="O97" s="505">
        <f t="shared" si="37"/>
        <v>-18525.580667916736</v>
      </c>
      <c r="P97" s="505">
        <f t="shared" si="37"/>
        <v>-18525.58066791674</v>
      </c>
      <c r="Q97" s="505">
        <f t="shared" si="37"/>
        <v>-18525.58066791674</v>
      </c>
      <c r="R97" s="505">
        <f t="shared" si="37"/>
        <v>-18525.58066791674</v>
      </c>
      <c r="S97" s="505">
        <f t="shared" si="37"/>
        <v>-18525.580667916736</v>
      </c>
      <c r="T97" s="505">
        <f t="shared" si="37"/>
        <v>-18525.58066791674</v>
      </c>
      <c r="U97" s="505">
        <f t="shared" si="37"/>
        <v>-18525.58066791674</v>
      </c>
      <c r="V97" s="505">
        <f t="shared" si="37"/>
        <v>0</v>
      </c>
      <c r="W97" s="505">
        <f t="shared" si="37"/>
        <v>0</v>
      </c>
      <c r="X97" s="505">
        <f t="shared" si="37"/>
        <v>0</v>
      </c>
      <c r="Y97" s="505">
        <f t="shared" si="37"/>
        <v>0</v>
      </c>
      <c r="Z97" s="505">
        <f t="shared" si="37"/>
        <v>0</v>
      </c>
      <c r="AA97" s="505">
        <f t="shared" si="37"/>
        <v>0</v>
      </c>
      <c r="AB97" s="505">
        <f t="shared" si="37"/>
        <v>0</v>
      </c>
      <c r="AC97" s="505">
        <f t="shared" si="37"/>
        <v>0</v>
      </c>
      <c r="AD97" s="505">
        <f t="shared" si="37"/>
        <v>0</v>
      </c>
      <c r="AE97" s="505">
        <f t="shared" si="37"/>
        <v>0</v>
      </c>
      <c r="AF97" s="505">
        <f t="shared" si="37"/>
        <v>0</v>
      </c>
      <c r="AG97" s="505">
        <f t="shared" si="37"/>
        <v>0</v>
      </c>
      <c r="AH97" s="505">
        <f t="shared" si="37"/>
        <v>0</v>
      </c>
      <c r="AI97" s="505">
        <f t="shared" si="37"/>
        <v>0</v>
      </c>
      <c r="AJ97" s="505">
        <f t="shared" si="37"/>
        <v>0</v>
      </c>
      <c r="AK97" s="505">
        <f t="shared" si="37"/>
        <v>0</v>
      </c>
      <c r="AL97" s="505">
        <f t="shared" si="37"/>
        <v>0</v>
      </c>
      <c r="AM97" s="505">
        <f t="shared" si="37"/>
        <v>0</v>
      </c>
      <c r="AN97" s="505">
        <f t="shared" si="37"/>
        <v>0</v>
      </c>
      <c r="AO97" s="505">
        <f t="shared" si="37"/>
        <v>0</v>
      </c>
      <c r="AP97" s="505">
        <f t="shared" si="37"/>
        <v>0</v>
      </c>
      <c r="AQ97" s="506">
        <f t="shared" si="37"/>
        <v>0</v>
      </c>
      <c r="AR97" s="519"/>
      <c r="AS97" s="519"/>
    </row>
    <row r="98" spans="2:45" s="1" customFormat="1" x14ac:dyDescent="0.3">
      <c r="B98" s="526"/>
      <c r="C98" s="527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8"/>
      <c r="AA98" s="528"/>
      <c r="AB98" s="528"/>
      <c r="AC98" s="528"/>
      <c r="AD98" s="528"/>
      <c r="AE98" s="528"/>
      <c r="AF98" s="528"/>
      <c r="AG98" s="528"/>
      <c r="AH98" s="528"/>
      <c r="AI98" s="528"/>
      <c r="AJ98" s="528"/>
      <c r="AK98" s="528"/>
      <c r="AL98" s="528"/>
      <c r="AM98" s="528"/>
      <c r="AN98" s="528"/>
      <c r="AO98" s="528"/>
      <c r="AP98" s="528"/>
      <c r="AQ98" s="529"/>
      <c r="AR98" s="519"/>
      <c r="AS98" s="519"/>
    </row>
    <row r="99" spans="2:45" s="1" customFormat="1" x14ac:dyDescent="0.3">
      <c r="B99" s="144" t="s">
        <v>263</v>
      </c>
      <c r="C99" s="479"/>
      <c r="D99" s="479">
        <f t="shared" ref="D99:AQ99" si="38">D118</f>
        <v>3838.8694318893999</v>
      </c>
      <c r="E99" s="479">
        <f t="shared" si="38"/>
        <v>13558.790497995013</v>
      </c>
      <c r="F99" s="479">
        <f t="shared" si="38"/>
        <v>7250.0395484386627</v>
      </c>
      <c r="G99" s="479">
        <f t="shared" si="38"/>
        <v>2109.25482064466</v>
      </c>
      <c r="H99" s="479">
        <f t="shared" si="38"/>
        <v>-1629.3493351880077</v>
      </c>
      <c r="I99" s="479">
        <f t="shared" si="38"/>
        <v>-1902.5194570835808</v>
      </c>
      <c r="J99" s="479">
        <f t="shared" si="38"/>
        <v>-2162.5047017022312</v>
      </c>
      <c r="K99" s="479">
        <f t="shared" si="38"/>
        <v>-6810.1473132068013</v>
      </c>
      <c r="L99" s="479">
        <f t="shared" si="38"/>
        <v>-11454.749851540872</v>
      </c>
      <c r="M99" s="479">
        <f t="shared" si="38"/>
        <v>-11744.73818054436</v>
      </c>
      <c r="N99" s="479">
        <f t="shared" si="38"/>
        <v>-12041.856466352578</v>
      </c>
      <c r="O99" s="479">
        <f t="shared" si="38"/>
        <v>-12346.310186545459</v>
      </c>
      <c r="P99" s="479">
        <f t="shared" si="38"/>
        <v>-12658.311900535196</v>
      </c>
      <c r="Q99" s="479">
        <f t="shared" si="38"/>
        <v>-12978.081531703414</v>
      </c>
      <c r="R99" s="479">
        <f t="shared" si="38"/>
        <v>-13305.846661822501</v>
      </c>
      <c r="S99" s="479">
        <f t="shared" si="38"/>
        <v>-13641.842838320914</v>
      </c>
      <c r="T99" s="479">
        <f t="shared" si="38"/>
        <v>-13986.313894977897</v>
      </c>
      <c r="U99" s="479">
        <f t="shared" si="38"/>
        <v>-14339.512286660736</v>
      </c>
      <c r="V99" s="479">
        <f t="shared" si="38"/>
        <v>-14701.699438745902</v>
      </c>
      <c r="W99" s="479">
        <f t="shared" si="38"/>
        <v>-14995.733427520823</v>
      </c>
      <c r="X99" s="479">
        <f t="shared" si="38"/>
        <v>0</v>
      </c>
      <c r="Y99" s="479">
        <f t="shared" si="38"/>
        <v>0</v>
      </c>
      <c r="Z99" s="479">
        <f t="shared" si="38"/>
        <v>0</v>
      </c>
      <c r="AA99" s="479">
        <f t="shared" si="38"/>
        <v>0</v>
      </c>
      <c r="AB99" s="479">
        <f t="shared" si="38"/>
        <v>0</v>
      </c>
      <c r="AC99" s="479">
        <f t="shared" si="38"/>
        <v>0</v>
      </c>
      <c r="AD99" s="479">
        <f t="shared" si="38"/>
        <v>0</v>
      </c>
      <c r="AE99" s="479">
        <f t="shared" si="38"/>
        <v>0</v>
      </c>
      <c r="AF99" s="479">
        <f t="shared" si="38"/>
        <v>0</v>
      </c>
      <c r="AG99" s="479">
        <f t="shared" si="38"/>
        <v>0</v>
      </c>
      <c r="AH99" s="479">
        <f t="shared" si="38"/>
        <v>0</v>
      </c>
      <c r="AI99" s="479">
        <f t="shared" si="38"/>
        <v>0</v>
      </c>
      <c r="AJ99" s="479">
        <f t="shared" si="38"/>
        <v>0</v>
      </c>
      <c r="AK99" s="479">
        <f t="shared" si="38"/>
        <v>0</v>
      </c>
      <c r="AL99" s="479">
        <f t="shared" si="38"/>
        <v>0</v>
      </c>
      <c r="AM99" s="479">
        <f t="shared" si="38"/>
        <v>0</v>
      </c>
      <c r="AN99" s="479">
        <f t="shared" si="38"/>
        <v>0</v>
      </c>
      <c r="AO99" s="479">
        <f t="shared" si="38"/>
        <v>0</v>
      </c>
      <c r="AP99" s="479">
        <f t="shared" si="38"/>
        <v>0</v>
      </c>
      <c r="AQ99" s="480">
        <f t="shared" si="38"/>
        <v>0</v>
      </c>
      <c r="AR99" s="519"/>
      <c r="AS99" s="519"/>
    </row>
    <row r="100" spans="2:45" s="1" customFormat="1" x14ac:dyDescent="0.3">
      <c r="B100" s="109" t="s">
        <v>264</v>
      </c>
      <c r="C100" s="479"/>
      <c r="D100" s="479">
        <f>D128</f>
        <v>8313.3236262803075</v>
      </c>
      <c r="E100" s="479">
        <f t="shared" ref="E100:AQ100" si="39">E130+E128</f>
        <v>29362.45042730965</v>
      </c>
      <c r="F100" s="479">
        <f t="shared" si="39"/>
        <v>15700.43632347176</v>
      </c>
      <c r="G100" s="479">
        <f t="shared" si="39"/>
        <v>4567.7297041281799</v>
      </c>
      <c r="H100" s="479">
        <f t="shared" si="39"/>
        <v>-3528.4628883603104</v>
      </c>
      <c r="I100" s="479">
        <f t="shared" si="39"/>
        <v>-4120.0307102517236</v>
      </c>
      <c r="J100" s="479">
        <f t="shared" si="39"/>
        <v>-4683.0458153288273</v>
      </c>
      <c r="K100" s="479">
        <f t="shared" si="39"/>
        <v>-14747.820826369423</v>
      </c>
      <c r="L100" s="479">
        <f t="shared" si="39"/>
        <v>-24806.01235949749</v>
      </c>
      <c r="M100" s="479">
        <f t="shared" si="39"/>
        <v>-25434.001112338123</v>
      </c>
      <c r="N100" s="479">
        <f t="shared" si="39"/>
        <v>-26077.430254441988</v>
      </c>
      <c r="O100" s="479">
        <f t="shared" si="39"/>
        <v>-26736.744760990005</v>
      </c>
      <c r="P100" s="479">
        <f t="shared" si="39"/>
        <v>-27412.40494333547</v>
      </c>
      <c r="Q100" s="479">
        <f t="shared" si="39"/>
        <v>-28104.887059990662</v>
      </c>
      <c r="R100" s="479">
        <f t="shared" si="39"/>
        <v>-28814.683954215521</v>
      </c>
      <c r="S100" s="479">
        <f t="shared" si="39"/>
        <v>-29542.305719420838</v>
      </c>
      <c r="T100" s="479">
        <f t="shared" si="39"/>
        <v>-30288.280393653709</v>
      </c>
      <c r="U100" s="479">
        <f t="shared" si="39"/>
        <v>-31053.154684493038</v>
      </c>
      <c r="V100" s="479">
        <f t="shared" si="39"/>
        <v>-31837.494725743891</v>
      </c>
      <c r="W100" s="479">
        <f t="shared" si="39"/>
        <v>-32474.244620258782</v>
      </c>
      <c r="X100" s="479">
        <f t="shared" si="39"/>
        <v>0</v>
      </c>
      <c r="Y100" s="479">
        <f t="shared" si="39"/>
        <v>0</v>
      </c>
      <c r="Z100" s="479">
        <f t="shared" si="39"/>
        <v>0</v>
      </c>
      <c r="AA100" s="479">
        <f t="shared" si="39"/>
        <v>0</v>
      </c>
      <c r="AB100" s="479">
        <f t="shared" si="39"/>
        <v>0</v>
      </c>
      <c r="AC100" s="479">
        <f t="shared" si="39"/>
        <v>0</v>
      </c>
      <c r="AD100" s="479">
        <f t="shared" si="39"/>
        <v>0</v>
      </c>
      <c r="AE100" s="479">
        <f t="shared" si="39"/>
        <v>0</v>
      </c>
      <c r="AF100" s="479">
        <f t="shared" si="39"/>
        <v>0</v>
      </c>
      <c r="AG100" s="479">
        <f t="shared" si="39"/>
        <v>0</v>
      </c>
      <c r="AH100" s="479">
        <f t="shared" si="39"/>
        <v>0</v>
      </c>
      <c r="AI100" s="479">
        <f t="shared" si="39"/>
        <v>0</v>
      </c>
      <c r="AJ100" s="479">
        <f t="shared" si="39"/>
        <v>0</v>
      </c>
      <c r="AK100" s="479">
        <f t="shared" si="39"/>
        <v>0</v>
      </c>
      <c r="AL100" s="479">
        <f t="shared" si="39"/>
        <v>0</v>
      </c>
      <c r="AM100" s="479">
        <f t="shared" si="39"/>
        <v>0</v>
      </c>
      <c r="AN100" s="479">
        <f t="shared" si="39"/>
        <v>0</v>
      </c>
      <c r="AO100" s="479">
        <f t="shared" si="39"/>
        <v>0</v>
      </c>
      <c r="AP100" s="479">
        <f t="shared" si="39"/>
        <v>0</v>
      </c>
      <c r="AQ100" s="480">
        <f t="shared" si="39"/>
        <v>0</v>
      </c>
      <c r="AR100" s="519"/>
      <c r="AS100" s="519"/>
    </row>
    <row r="101" spans="2:45" s="1" customFormat="1" x14ac:dyDescent="0.3">
      <c r="B101" s="109" t="s">
        <v>265</v>
      </c>
      <c r="C101" s="479"/>
      <c r="D101" s="479">
        <f>D129</f>
        <v>0</v>
      </c>
      <c r="E101" s="479">
        <f t="shared" ref="E101:AQ102" si="40">E129</f>
        <v>0</v>
      </c>
      <c r="F101" s="479">
        <f t="shared" si="40"/>
        <v>0</v>
      </c>
      <c r="G101" s="479">
        <f t="shared" si="40"/>
        <v>0</v>
      </c>
      <c r="H101" s="479">
        <f t="shared" si="40"/>
        <v>0</v>
      </c>
      <c r="I101" s="479">
        <f t="shared" si="40"/>
        <v>0</v>
      </c>
      <c r="J101" s="479">
        <f t="shared" si="40"/>
        <v>0</v>
      </c>
      <c r="K101" s="479">
        <f t="shared" si="40"/>
        <v>0</v>
      </c>
      <c r="L101" s="479">
        <f t="shared" si="40"/>
        <v>0</v>
      </c>
      <c r="M101" s="479">
        <f t="shared" si="40"/>
        <v>0</v>
      </c>
      <c r="N101" s="479">
        <f t="shared" si="40"/>
        <v>0</v>
      </c>
      <c r="O101" s="479">
        <f t="shared" si="40"/>
        <v>0</v>
      </c>
      <c r="P101" s="479">
        <f t="shared" si="40"/>
        <v>0</v>
      </c>
      <c r="Q101" s="479">
        <f t="shared" si="40"/>
        <v>0</v>
      </c>
      <c r="R101" s="479">
        <f t="shared" si="40"/>
        <v>0</v>
      </c>
      <c r="S101" s="479">
        <f t="shared" si="40"/>
        <v>0</v>
      </c>
      <c r="T101" s="479">
        <f t="shared" si="40"/>
        <v>0</v>
      </c>
      <c r="U101" s="479">
        <f t="shared" si="40"/>
        <v>0</v>
      </c>
      <c r="V101" s="479">
        <f t="shared" si="40"/>
        <v>0</v>
      </c>
      <c r="W101" s="479">
        <f t="shared" si="40"/>
        <v>0</v>
      </c>
      <c r="X101" s="479">
        <f t="shared" si="40"/>
        <v>0</v>
      </c>
      <c r="Y101" s="479">
        <f t="shared" si="40"/>
        <v>0</v>
      </c>
      <c r="Z101" s="479">
        <f t="shared" si="40"/>
        <v>0</v>
      </c>
      <c r="AA101" s="479">
        <f t="shared" si="40"/>
        <v>0</v>
      </c>
      <c r="AB101" s="479">
        <f t="shared" si="40"/>
        <v>0</v>
      </c>
      <c r="AC101" s="479">
        <f t="shared" si="40"/>
        <v>0</v>
      </c>
      <c r="AD101" s="479">
        <f t="shared" si="40"/>
        <v>0</v>
      </c>
      <c r="AE101" s="479">
        <f t="shared" si="40"/>
        <v>0</v>
      </c>
      <c r="AF101" s="479">
        <f t="shared" si="40"/>
        <v>0</v>
      </c>
      <c r="AG101" s="479">
        <f t="shared" si="40"/>
        <v>0</v>
      </c>
      <c r="AH101" s="479">
        <f t="shared" si="40"/>
        <v>0</v>
      </c>
      <c r="AI101" s="479">
        <f t="shared" si="40"/>
        <v>0</v>
      </c>
      <c r="AJ101" s="479">
        <f t="shared" si="40"/>
        <v>0</v>
      </c>
      <c r="AK101" s="479">
        <f t="shared" si="40"/>
        <v>0</v>
      </c>
      <c r="AL101" s="479">
        <f t="shared" si="40"/>
        <v>0</v>
      </c>
      <c r="AM101" s="479">
        <f t="shared" si="40"/>
        <v>0</v>
      </c>
      <c r="AN101" s="479">
        <f t="shared" si="40"/>
        <v>0</v>
      </c>
      <c r="AO101" s="479">
        <f t="shared" si="40"/>
        <v>0</v>
      </c>
      <c r="AP101" s="479">
        <f t="shared" si="40"/>
        <v>0</v>
      </c>
      <c r="AQ101" s="480">
        <f t="shared" si="40"/>
        <v>0</v>
      </c>
      <c r="AR101" s="519"/>
      <c r="AS101" s="519"/>
    </row>
    <row r="102" spans="2:45" s="1" customFormat="1" x14ac:dyDescent="0.3">
      <c r="B102" s="109" t="s">
        <v>266</v>
      </c>
      <c r="C102" s="479"/>
      <c r="D102" s="479">
        <f>D130</f>
        <v>0</v>
      </c>
      <c r="E102" s="479">
        <f t="shared" si="40"/>
        <v>0</v>
      </c>
      <c r="F102" s="479">
        <f t="shared" si="40"/>
        <v>0</v>
      </c>
      <c r="G102" s="479">
        <f t="shared" si="40"/>
        <v>0</v>
      </c>
      <c r="H102" s="479">
        <f t="shared" si="40"/>
        <v>0</v>
      </c>
      <c r="I102" s="479">
        <f t="shared" si="40"/>
        <v>0</v>
      </c>
      <c r="J102" s="479">
        <f t="shared" si="40"/>
        <v>0</v>
      </c>
      <c r="K102" s="479">
        <f t="shared" si="40"/>
        <v>0</v>
      </c>
      <c r="L102" s="479">
        <f t="shared" si="40"/>
        <v>0</v>
      </c>
      <c r="M102" s="479">
        <f t="shared" si="40"/>
        <v>0</v>
      </c>
      <c r="N102" s="479">
        <f t="shared" si="40"/>
        <v>0</v>
      </c>
      <c r="O102" s="479">
        <f t="shared" si="40"/>
        <v>0</v>
      </c>
      <c r="P102" s="479">
        <f t="shared" si="40"/>
        <v>0</v>
      </c>
      <c r="Q102" s="479">
        <f t="shared" si="40"/>
        <v>0</v>
      </c>
      <c r="R102" s="479">
        <f t="shared" si="40"/>
        <v>0</v>
      </c>
      <c r="S102" s="479">
        <f t="shared" si="40"/>
        <v>0</v>
      </c>
      <c r="T102" s="479">
        <f t="shared" si="40"/>
        <v>0</v>
      </c>
      <c r="U102" s="479">
        <f t="shared" si="40"/>
        <v>0</v>
      </c>
      <c r="V102" s="479">
        <f t="shared" si="40"/>
        <v>0</v>
      </c>
      <c r="W102" s="479">
        <f t="shared" si="40"/>
        <v>0</v>
      </c>
      <c r="X102" s="479">
        <f t="shared" si="40"/>
        <v>0</v>
      </c>
      <c r="Y102" s="479">
        <f t="shared" si="40"/>
        <v>0</v>
      </c>
      <c r="Z102" s="479">
        <f t="shared" si="40"/>
        <v>0</v>
      </c>
      <c r="AA102" s="479">
        <f t="shared" si="40"/>
        <v>0</v>
      </c>
      <c r="AB102" s="479">
        <f t="shared" si="40"/>
        <v>0</v>
      </c>
      <c r="AC102" s="479">
        <f t="shared" si="40"/>
        <v>0</v>
      </c>
      <c r="AD102" s="479">
        <f t="shared" si="40"/>
        <v>0</v>
      </c>
      <c r="AE102" s="479">
        <f t="shared" si="40"/>
        <v>0</v>
      </c>
      <c r="AF102" s="479">
        <f t="shared" si="40"/>
        <v>0</v>
      </c>
      <c r="AG102" s="479">
        <f t="shared" si="40"/>
        <v>0</v>
      </c>
      <c r="AH102" s="479">
        <f t="shared" si="40"/>
        <v>0</v>
      </c>
      <c r="AI102" s="479">
        <f t="shared" si="40"/>
        <v>0</v>
      </c>
      <c r="AJ102" s="479">
        <f t="shared" si="40"/>
        <v>0</v>
      </c>
      <c r="AK102" s="479">
        <f t="shared" si="40"/>
        <v>0</v>
      </c>
      <c r="AL102" s="479">
        <f t="shared" si="40"/>
        <v>0</v>
      </c>
      <c r="AM102" s="479">
        <f t="shared" si="40"/>
        <v>0</v>
      </c>
      <c r="AN102" s="479">
        <f t="shared" si="40"/>
        <v>0</v>
      </c>
      <c r="AO102" s="479">
        <f t="shared" si="40"/>
        <v>0</v>
      </c>
      <c r="AP102" s="479">
        <f t="shared" si="40"/>
        <v>0</v>
      </c>
      <c r="AQ102" s="480">
        <f t="shared" si="40"/>
        <v>0</v>
      </c>
      <c r="AR102" s="519"/>
      <c r="AS102" s="519"/>
    </row>
    <row r="103" spans="2:45" s="1" customFormat="1" x14ac:dyDescent="0.3">
      <c r="B103" s="497" t="s">
        <v>267</v>
      </c>
      <c r="C103" s="505"/>
      <c r="D103" s="505">
        <f t="shared" ref="D103:AQ103" si="41">D132</f>
        <v>12152.193058169707</v>
      </c>
      <c r="E103" s="505">
        <f t="shared" si="41"/>
        <v>42921.240925304664</v>
      </c>
      <c r="F103" s="505">
        <f t="shared" si="41"/>
        <v>22950.475871910421</v>
      </c>
      <c r="G103" s="505">
        <f t="shared" si="41"/>
        <v>6676.9845247728399</v>
      </c>
      <c r="H103" s="505">
        <f t="shared" si="41"/>
        <v>-5157.8122235483179</v>
      </c>
      <c r="I103" s="505">
        <f t="shared" si="41"/>
        <v>-6022.5501673353046</v>
      </c>
      <c r="J103" s="505">
        <f t="shared" si="41"/>
        <v>-6845.5505170310589</v>
      </c>
      <c r="K103" s="505">
        <f t="shared" si="41"/>
        <v>-21557.968139576224</v>
      </c>
      <c r="L103" s="505">
        <f t="shared" si="41"/>
        <v>-36260.76221103836</v>
      </c>
      <c r="M103" s="505">
        <f t="shared" si="41"/>
        <v>-37178.739292882485</v>
      </c>
      <c r="N103" s="505">
        <f t="shared" si="41"/>
        <v>-38119.286720794567</v>
      </c>
      <c r="O103" s="505">
        <f t="shared" si="41"/>
        <v>-39083.054947535464</v>
      </c>
      <c r="P103" s="505">
        <f t="shared" si="41"/>
        <v>-40070.716843870665</v>
      </c>
      <c r="Q103" s="505">
        <f t="shared" si="41"/>
        <v>-41082.96859169408</v>
      </c>
      <c r="R103" s="505">
        <f t="shared" si="41"/>
        <v>-42120.530616038021</v>
      </c>
      <c r="S103" s="505">
        <f t="shared" si="41"/>
        <v>-43184.148557741748</v>
      </c>
      <c r="T103" s="505">
        <f t="shared" si="41"/>
        <v>-44274.594288631604</v>
      </c>
      <c r="U103" s="505">
        <f t="shared" si="41"/>
        <v>-45392.666971153776</v>
      </c>
      <c r="V103" s="505">
        <f t="shared" si="41"/>
        <v>-46539.194164489789</v>
      </c>
      <c r="W103" s="505">
        <f t="shared" si="41"/>
        <v>-47469.978047779601</v>
      </c>
      <c r="X103" s="505">
        <f t="shared" si="41"/>
        <v>0</v>
      </c>
      <c r="Y103" s="505">
        <f t="shared" si="41"/>
        <v>0</v>
      </c>
      <c r="Z103" s="505">
        <f t="shared" si="41"/>
        <v>0</v>
      </c>
      <c r="AA103" s="505">
        <f t="shared" si="41"/>
        <v>0</v>
      </c>
      <c r="AB103" s="505">
        <f t="shared" si="41"/>
        <v>0</v>
      </c>
      <c r="AC103" s="505">
        <f t="shared" si="41"/>
        <v>0</v>
      </c>
      <c r="AD103" s="505">
        <f t="shared" si="41"/>
        <v>0</v>
      </c>
      <c r="AE103" s="505">
        <f t="shared" si="41"/>
        <v>0</v>
      </c>
      <c r="AF103" s="505">
        <f t="shared" si="41"/>
        <v>0</v>
      </c>
      <c r="AG103" s="505">
        <f t="shared" si="41"/>
        <v>0</v>
      </c>
      <c r="AH103" s="505">
        <f t="shared" si="41"/>
        <v>0</v>
      </c>
      <c r="AI103" s="505">
        <f t="shared" si="41"/>
        <v>0</v>
      </c>
      <c r="AJ103" s="505">
        <f t="shared" si="41"/>
        <v>0</v>
      </c>
      <c r="AK103" s="505">
        <f t="shared" si="41"/>
        <v>0</v>
      </c>
      <c r="AL103" s="505">
        <f t="shared" si="41"/>
        <v>0</v>
      </c>
      <c r="AM103" s="505">
        <f t="shared" si="41"/>
        <v>0</v>
      </c>
      <c r="AN103" s="505">
        <f t="shared" si="41"/>
        <v>0</v>
      </c>
      <c r="AO103" s="505">
        <f t="shared" si="41"/>
        <v>0</v>
      </c>
      <c r="AP103" s="505">
        <f t="shared" si="41"/>
        <v>0</v>
      </c>
      <c r="AQ103" s="506">
        <f t="shared" si="41"/>
        <v>0</v>
      </c>
      <c r="AR103" s="519"/>
      <c r="AS103" s="519"/>
    </row>
    <row r="104" spans="2:45" s="1" customFormat="1" x14ac:dyDescent="0.3">
      <c r="B104" s="109"/>
      <c r="C104" s="49"/>
      <c r="D104" s="49"/>
      <c r="E104" s="530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391"/>
      <c r="AR104" s="519"/>
      <c r="AS104" s="519"/>
    </row>
    <row r="105" spans="2:45" s="1" customFormat="1" x14ac:dyDescent="0.3">
      <c r="B105" s="144" t="s">
        <v>268</v>
      </c>
      <c r="C105" s="508">
        <f>-H30</f>
        <v>-885000</v>
      </c>
      <c r="D105" s="4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  <c r="AA105" s="479"/>
      <c r="AB105" s="479"/>
      <c r="AC105" s="479"/>
      <c r="AD105" s="479"/>
      <c r="AE105" s="479"/>
      <c r="AF105" s="479"/>
      <c r="AG105" s="479"/>
      <c r="AH105" s="479"/>
      <c r="AI105" s="479"/>
      <c r="AJ105" s="479"/>
      <c r="AK105" s="479"/>
      <c r="AL105" s="479"/>
      <c r="AM105" s="479"/>
      <c r="AN105" s="479"/>
      <c r="AO105" s="479"/>
      <c r="AP105" s="479"/>
      <c r="AQ105" s="480"/>
      <c r="AR105" s="519"/>
      <c r="AS105" s="519"/>
    </row>
    <row r="106" spans="2:45" s="1" customFormat="1" x14ac:dyDescent="0.3">
      <c r="B106" s="144"/>
      <c r="C106" s="508"/>
      <c r="D106" s="4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79"/>
      <c r="AL106" s="479"/>
      <c r="AM106" s="479"/>
      <c r="AN106" s="479"/>
      <c r="AO106" s="479"/>
      <c r="AP106" s="479"/>
      <c r="AQ106" s="480"/>
      <c r="AR106" s="519"/>
      <c r="AS106" s="519"/>
    </row>
    <row r="107" spans="2:45" s="1" customFormat="1" ht="15" thickBot="1" x14ac:dyDescent="0.35">
      <c r="B107" s="531" t="s">
        <v>269</v>
      </c>
      <c r="C107" s="532">
        <f>C78+C89+C97+C105+C100</f>
        <v>-885000</v>
      </c>
      <c r="D107" s="532">
        <f t="shared" ref="D107:AQ107" si="42">D78+D89+D97+D103</f>
        <v>118742.15862854244</v>
      </c>
      <c r="E107" s="532">
        <f t="shared" si="42"/>
        <v>152013.51742044312</v>
      </c>
      <c r="F107" s="532">
        <f t="shared" si="42"/>
        <v>125571.85686281</v>
      </c>
      <c r="G107" s="532">
        <f t="shared" si="42"/>
        <v>111721.30474884876</v>
      </c>
      <c r="H107" s="532">
        <f t="shared" si="42"/>
        <v>102357.90601836746</v>
      </c>
      <c r="I107" s="532">
        <f t="shared" si="42"/>
        <v>104013.99405277714</v>
      </c>
      <c r="J107" s="532">
        <f t="shared" si="42"/>
        <v>105762.23620084191</v>
      </c>
      <c r="K107" s="532">
        <f t="shared" si="42"/>
        <v>93672.485926012567</v>
      </c>
      <c r="L107" s="532">
        <f t="shared" si="42"/>
        <v>81644.812549220544</v>
      </c>
      <c r="M107" s="532">
        <f t="shared" si="42"/>
        <v>83455.458575939949</v>
      </c>
      <c r="N107" s="532">
        <f t="shared" si="42"/>
        <v>85298.106718762632</v>
      </c>
      <c r="O107" s="532">
        <f t="shared" si="42"/>
        <v>87173.197974171242</v>
      </c>
      <c r="P107" s="532">
        <f t="shared" si="42"/>
        <v>89081.172749628458</v>
      </c>
      <c r="Q107" s="532">
        <f t="shared" si="42"/>
        <v>91022.470407033397</v>
      </c>
      <c r="R107" s="532">
        <f t="shared" si="42"/>
        <v>92997.528776022285</v>
      </c>
      <c r="S107" s="532">
        <f t="shared" si="42"/>
        <v>95006.783635518135</v>
      </c>
      <c r="T107" s="532">
        <f t="shared" si="42"/>
        <v>97050.668161851849</v>
      </c>
      <c r="U107" s="532">
        <f t="shared" si="42"/>
        <v>99129.612341697619</v>
      </c>
      <c r="V107" s="532">
        <f t="shared" si="42"/>
        <v>119769.6230158937</v>
      </c>
      <c r="W107" s="532">
        <f t="shared" si="42"/>
        <v>122165.0154762116</v>
      </c>
      <c r="X107" s="532">
        <f t="shared" si="42"/>
        <v>0</v>
      </c>
      <c r="Y107" s="532">
        <f t="shared" si="42"/>
        <v>0</v>
      </c>
      <c r="Z107" s="532">
        <f t="shared" si="42"/>
        <v>0</v>
      </c>
      <c r="AA107" s="532">
        <f t="shared" si="42"/>
        <v>0</v>
      </c>
      <c r="AB107" s="532">
        <f t="shared" si="42"/>
        <v>0</v>
      </c>
      <c r="AC107" s="532">
        <f t="shared" si="42"/>
        <v>0</v>
      </c>
      <c r="AD107" s="532">
        <f t="shared" si="42"/>
        <v>0</v>
      </c>
      <c r="AE107" s="532">
        <f t="shared" si="42"/>
        <v>0</v>
      </c>
      <c r="AF107" s="532">
        <f t="shared" si="42"/>
        <v>0</v>
      </c>
      <c r="AG107" s="532">
        <f t="shared" si="42"/>
        <v>0</v>
      </c>
      <c r="AH107" s="532">
        <f t="shared" si="42"/>
        <v>0</v>
      </c>
      <c r="AI107" s="532">
        <f t="shared" si="42"/>
        <v>0</v>
      </c>
      <c r="AJ107" s="532">
        <f t="shared" si="42"/>
        <v>0</v>
      </c>
      <c r="AK107" s="532">
        <f t="shared" si="42"/>
        <v>0</v>
      </c>
      <c r="AL107" s="532">
        <f t="shared" si="42"/>
        <v>0</v>
      </c>
      <c r="AM107" s="532">
        <f t="shared" si="42"/>
        <v>0</v>
      </c>
      <c r="AN107" s="532">
        <f t="shared" si="42"/>
        <v>0</v>
      </c>
      <c r="AO107" s="532">
        <f t="shared" si="42"/>
        <v>0</v>
      </c>
      <c r="AP107" s="532">
        <f t="shared" si="42"/>
        <v>0</v>
      </c>
      <c r="AQ107" s="533">
        <f t="shared" si="42"/>
        <v>0</v>
      </c>
      <c r="AR107" s="519"/>
      <c r="AS107" s="519"/>
    </row>
    <row r="108" spans="2:45" s="1" customFormat="1" ht="15" thickTop="1" x14ac:dyDescent="0.3">
      <c r="B108" s="534" t="s">
        <v>270</v>
      </c>
      <c r="C108" s="535">
        <f t="shared" ref="C108:AQ108" si="43">C107/$C$6/1000</f>
        <v>-885</v>
      </c>
      <c r="D108" s="535">
        <f t="shared" si="43"/>
        <v>118.74215862854244</v>
      </c>
      <c r="E108" s="535">
        <f t="shared" si="43"/>
        <v>152.01351742044312</v>
      </c>
      <c r="F108" s="535">
        <f t="shared" si="43"/>
        <v>125.57185686281001</v>
      </c>
      <c r="G108" s="535">
        <f t="shared" si="43"/>
        <v>111.72130474884877</v>
      </c>
      <c r="H108" s="535">
        <f t="shared" si="43"/>
        <v>102.35790601836746</v>
      </c>
      <c r="I108" s="535">
        <f t="shared" si="43"/>
        <v>104.01399405277714</v>
      </c>
      <c r="J108" s="535">
        <f t="shared" si="43"/>
        <v>105.76223620084191</v>
      </c>
      <c r="K108" s="535">
        <f t="shared" si="43"/>
        <v>93.67248592601257</v>
      </c>
      <c r="L108" s="535">
        <f t="shared" si="43"/>
        <v>81.644812549220546</v>
      </c>
      <c r="M108" s="535">
        <f t="shared" si="43"/>
        <v>83.455458575939943</v>
      </c>
      <c r="N108" s="535">
        <f t="shared" si="43"/>
        <v>85.298106718762625</v>
      </c>
      <c r="O108" s="535">
        <f t="shared" si="43"/>
        <v>87.173197974171245</v>
      </c>
      <c r="P108" s="535">
        <f t="shared" si="43"/>
        <v>89.081172749628465</v>
      </c>
      <c r="Q108" s="535">
        <f t="shared" si="43"/>
        <v>91.022470407033396</v>
      </c>
      <c r="R108" s="535">
        <f t="shared" si="43"/>
        <v>92.997528776022278</v>
      </c>
      <c r="S108" s="535">
        <f t="shared" si="43"/>
        <v>95.006783635518133</v>
      </c>
      <c r="T108" s="535">
        <f t="shared" si="43"/>
        <v>97.050668161851846</v>
      </c>
      <c r="U108" s="535">
        <f t="shared" si="43"/>
        <v>99.129612341697623</v>
      </c>
      <c r="V108" s="535">
        <f t="shared" si="43"/>
        <v>119.7696230158937</v>
      </c>
      <c r="W108" s="535">
        <f t="shared" si="43"/>
        <v>122.16501547621159</v>
      </c>
      <c r="X108" s="535">
        <f t="shared" si="43"/>
        <v>0</v>
      </c>
      <c r="Y108" s="535">
        <f t="shared" si="43"/>
        <v>0</v>
      </c>
      <c r="Z108" s="535">
        <f t="shared" si="43"/>
        <v>0</v>
      </c>
      <c r="AA108" s="535">
        <f t="shared" si="43"/>
        <v>0</v>
      </c>
      <c r="AB108" s="535">
        <f t="shared" si="43"/>
        <v>0</v>
      </c>
      <c r="AC108" s="535">
        <f t="shared" si="43"/>
        <v>0</v>
      </c>
      <c r="AD108" s="535">
        <f t="shared" si="43"/>
        <v>0</v>
      </c>
      <c r="AE108" s="535">
        <f t="shared" si="43"/>
        <v>0</v>
      </c>
      <c r="AF108" s="535">
        <f t="shared" si="43"/>
        <v>0</v>
      </c>
      <c r="AG108" s="535">
        <f t="shared" si="43"/>
        <v>0</v>
      </c>
      <c r="AH108" s="535">
        <f t="shared" si="43"/>
        <v>0</v>
      </c>
      <c r="AI108" s="535">
        <f t="shared" si="43"/>
        <v>0</v>
      </c>
      <c r="AJ108" s="535">
        <f t="shared" si="43"/>
        <v>0</v>
      </c>
      <c r="AK108" s="535">
        <f t="shared" si="43"/>
        <v>0</v>
      </c>
      <c r="AL108" s="535">
        <f t="shared" si="43"/>
        <v>0</v>
      </c>
      <c r="AM108" s="535">
        <f t="shared" si="43"/>
        <v>0</v>
      </c>
      <c r="AN108" s="535">
        <f t="shared" si="43"/>
        <v>0</v>
      </c>
      <c r="AO108" s="535">
        <f t="shared" si="43"/>
        <v>0</v>
      </c>
      <c r="AP108" s="535">
        <f t="shared" si="43"/>
        <v>0</v>
      </c>
      <c r="AQ108" s="536">
        <f t="shared" si="43"/>
        <v>0</v>
      </c>
      <c r="AR108" s="519"/>
      <c r="AS108" s="519"/>
    </row>
    <row r="109" spans="2:45" s="1" customFormat="1" x14ac:dyDescent="0.3">
      <c r="C109" s="537">
        <f>IRR(C107:AQ107)</f>
        <v>0.10560289184472405</v>
      </c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8"/>
      <c r="X109" s="538"/>
      <c r="Y109" s="538"/>
      <c r="Z109" s="538"/>
      <c r="AA109" s="538"/>
      <c r="AB109" s="538"/>
      <c r="AC109" s="538"/>
      <c r="AD109" s="538"/>
      <c r="AE109" s="538"/>
      <c r="AF109" s="538"/>
      <c r="AG109" s="538"/>
      <c r="AH109" s="538"/>
      <c r="AI109" s="538"/>
      <c r="AJ109" s="538"/>
      <c r="AK109" s="538"/>
      <c r="AL109" s="538"/>
      <c r="AM109" s="538"/>
      <c r="AN109" s="538"/>
      <c r="AO109" s="538"/>
      <c r="AP109" s="538"/>
      <c r="AQ109" s="538"/>
      <c r="AR109" s="519"/>
      <c r="AS109" s="519"/>
    </row>
    <row r="110" spans="2:45" s="1" customFormat="1" x14ac:dyDescent="0.3">
      <c r="B110" s="370" t="s">
        <v>271</v>
      </c>
      <c r="C110" s="477">
        <v>0</v>
      </c>
      <c r="D110" s="477">
        <v>1</v>
      </c>
      <c r="E110" s="477">
        <v>2</v>
      </c>
      <c r="F110" s="477">
        <v>3</v>
      </c>
      <c r="G110" s="477">
        <v>4</v>
      </c>
      <c r="H110" s="477">
        <v>5</v>
      </c>
      <c r="I110" s="477">
        <v>6</v>
      </c>
      <c r="J110" s="477">
        <v>7</v>
      </c>
      <c r="K110" s="477">
        <v>8</v>
      </c>
      <c r="L110" s="477">
        <v>9</v>
      </c>
      <c r="M110" s="477">
        <v>10</v>
      </c>
      <c r="N110" s="477">
        <v>11</v>
      </c>
      <c r="O110" s="477">
        <v>12</v>
      </c>
      <c r="P110" s="477">
        <v>13</v>
      </c>
      <c r="Q110" s="477">
        <v>14</v>
      </c>
      <c r="R110" s="477">
        <v>15</v>
      </c>
      <c r="S110" s="477">
        <v>16</v>
      </c>
      <c r="T110" s="477">
        <v>17</v>
      </c>
      <c r="U110" s="477">
        <v>18</v>
      </c>
      <c r="V110" s="477">
        <v>19</v>
      </c>
      <c r="W110" s="477">
        <v>20</v>
      </c>
      <c r="X110" s="477">
        <v>21</v>
      </c>
      <c r="Y110" s="477">
        <v>22</v>
      </c>
      <c r="Z110" s="477">
        <v>23</v>
      </c>
      <c r="AA110" s="477">
        <v>24</v>
      </c>
      <c r="AB110" s="477">
        <v>25</v>
      </c>
      <c r="AC110" s="477">
        <v>26</v>
      </c>
      <c r="AD110" s="477">
        <v>27</v>
      </c>
      <c r="AE110" s="477">
        <v>28</v>
      </c>
      <c r="AF110" s="477">
        <v>29</v>
      </c>
      <c r="AG110" s="477">
        <v>30</v>
      </c>
      <c r="AH110" s="477">
        <v>31</v>
      </c>
      <c r="AI110" s="477">
        <v>32</v>
      </c>
      <c r="AJ110" s="477">
        <v>33</v>
      </c>
      <c r="AK110" s="477">
        <v>34</v>
      </c>
      <c r="AL110" s="477">
        <v>35</v>
      </c>
      <c r="AM110" s="477">
        <v>36</v>
      </c>
      <c r="AN110" s="477">
        <v>37</v>
      </c>
      <c r="AO110" s="477">
        <v>38</v>
      </c>
      <c r="AP110" s="477">
        <v>39</v>
      </c>
      <c r="AQ110" s="478">
        <v>40</v>
      </c>
      <c r="AR110" s="519"/>
      <c r="AS110" s="519"/>
    </row>
    <row r="111" spans="2:45" s="1" customFormat="1" x14ac:dyDescent="0.3">
      <c r="B111" s="497" t="s">
        <v>272</v>
      </c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5"/>
      <c r="AI111" s="505"/>
      <c r="AJ111" s="505"/>
      <c r="AK111" s="505"/>
      <c r="AL111" s="505"/>
      <c r="AM111" s="505"/>
      <c r="AN111" s="505"/>
      <c r="AO111" s="505"/>
      <c r="AP111" s="505"/>
      <c r="AQ111" s="506"/>
      <c r="AR111" s="539"/>
    </row>
    <row r="112" spans="2:45" s="1" customFormat="1" x14ac:dyDescent="0.3">
      <c r="B112" s="144" t="s">
        <v>273</v>
      </c>
      <c r="C112" s="505"/>
      <c r="D112" s="504">
        <f t="shared" ref="D112:AQ112" si="44">+D91+D96</f>
        <v>125115.54623828946</v>
      </c>
      <c r="E112" s="504">
        <f t="shared" si="44"/>
        <v>127617.85716305522</v>
      </c>
      <c r="F112" s="504">
        <f t="shared" si="44"/>
        <v>121146.96165881632</v>
      </c>
      <c r="G112" s="504">
        <f t="shared" si="44"/>
        <v>123569.90089199267</v>
      </c>
      <c r="H112" s="504">
        <f t="shared" si="44"/>
        <v>126041.29890983252</v>
      </c>
      <c r="I112" s="504">
        <f t="shared" si="44"/>
        <v>128562.12488802917</v>
      </c>
      <c r="J112" s="504">
        <f t="shared" si="44"/>
        <v>131133.36738578972</v>
      </c>
      <c r="K112" s="504">
        <f t="shared" si="44"/>
        <v>133756.03473350554</v>
      </c>
      <c r="L112" s="504">
        <f t="shared" si="44"/>
        <v>136431.15542817564</v>
      </c>
      <c r="M112" s="504">
        <f t="shared" si="44"/>
        <v>139159.77853673918</v>
      </c>
      <c r="N112" s="504">
        <f t="shared" si="44"/>
        <v>141942.97410747394</v>
      </c>
      <c r="O112" s="504">
        <f t="shared" si="44"/>
        <v>144781.83358962345</v>
      </c>
      <c r="P112" s="504">
        <f t="shared" si="44"/>
        <v>147677.47026141587</v>
      </c>
      <c r="Q112" s="504">
        <f t="shared" si="44"/>
        <v>150631.01966664422</v>
      </c>
      <c r="R112" s="504">
        <f t="shared" si="44"/>
        <v>153643.64005997704</v>
      </c>
      <c r="S112" s="504">
        <f t="shared" si="44"/>
        <v>156716.51286117663</v>
      </c>
      <c r="T112" s="504">
        <f t="shared" si="44"/>
        <v>159850.8431184002</v>
      </c>
      <c r="U112" s="504">
        <f t="shared" si="44"/>
        <v>163047.85998076815</v>
      </c>
      <c r="V112" s="504">
        <f t="shared" si="44"/>
        <v>166308.81718038348</v>
      </c>
      <c r="W112" s="504">
        <f t="shared" si="44"/>
        <v>169634.9935239912</v>
      </c>
      <c r="X112" s="504">
        <f t="shared" si="44"/>
        <v>0</v>
      </c>
      <c r="Y112" s="504">
        <f t="shared" si="44"/>
        <v>0</v>
      </c>
      <c r="Z112" s="504">
        <f t="shared" si="44"/>
        <v>0</v>
      </c>
      <c r="AA112" s="504">
        <f t="shared" si="44"/>
        <v>0</v>
      </c>
      <c r="AB112" s="504">
        <f t="shared" si="44"/>
        <v>0</v>
      </c>
      <c r="AC112" s="504">
        <f t="shared" si="44"/>
        <v>0</v>
      </c>
      <c r="AD112" s="504">
        <f t="shared" si="44"/>
        <v>0</v>
      </c>
      <c r="AE112" s="504">
        <f t="shared" si="44"/>
        <v>0</v>
      </c>
      <c r="AF112" s="504">
        <f t="shared" si="44"/>
        <v>0</v>
      </c>
      <c r="AG112" s="504">
        <f t="shared" si="44"/>
        <v>0</v>
      </c>
      <c r="AH112" s="504">
        <f t="shared" si="44"/>
        <v>0</v>
      </c>
      <c r="AI112" s="504">
        <f t="shared" si="44"/>
        <v>0</v>
      </c>
      <c r="AJ112" s="504">
        <f t="shared" si="44"/>
        <v>0</v>
      </c>
      <c r="AK112" s="504">
        <f t="shared" si="44"/>
        <v>0</v>
      </c>
      <c r="AL112" s="504">
        <f t="shared" si="44"/>
        <v>0</v>
      </c>
      <c r="AM112" s="504">
        <f t="shared" si="44"/>
        <v>0</v>
      </c>
      <c r="AN112" s="504">
        <f t="shared" si="44"/>
        <v>0</v>
      </c>
      <c r="AO112" s="504">
        <f t="shared" si="44"/>
        <v>0</v>
      </c>
      <c r="AP112" s="504">
        <f t="shared" si="44"/>
        <v>0</v>
      </c>
      <c r="AQ112" s="507">
        <f t="shared" si="44"/>
        <v>0</v>
      </c>
      <c r="AR112" s="539"/>
    </row>
    <row r="113" spans="1:44" s="1" customFormat="1" x14ac:dyDescent="0.3">
      <c r="B113" s="144" t="s">
        <v>274</v>
      </c>
      <c r="C113" s="505"/>
      <c r="D113" s="528">
        <f t="shared" ref="D113:AQ113" si="45">VLOOKUP($H$15,$C$171:$AQ$178,D170+1)*IF($H$16,1-$H$17,100%)+IF($H$16,IF(D$71=1,$H$17,0%))</f>
        <v>0.1429</v>
      </c>
      <c r="E113" s="528">
        <f t="shared" si="45"/>
        <v>0.24489999999999998</v>
      </c>
      <c r="F113" s="528">
        <f t="shared" si="45"/>
        <v>0.17489999999999997</v>
      </c>
      <c r="G113" s="528">
        <f t="shared" si="45"/>
        <v>0.1249</v>
      </c>
      <c r="H113" s="528">
        <f t="shared" si="45"/>
        <v>8.9300000000000004E-2</v>
      </c>
      <c r="I113" s="528">
        <f t="shared" si="45"/>
        <v>8.9200000000000002E-2</v>
      </c>
      <c r="J113" s="528">
        <f t="shared" si="45"/>
        <v>8.929999999999999E-2</v>
      </c>
      <c r="K113" s="528">
        <f t="shared" si="45"/>
        <v>4.4600000000000001E-2</v>
      </c>
      <c r="L113" s="528">
        <f t="shared" si="45"/>
        <v>0</v>
      </c>
      <c r="M113" s="528">
        <f t="shared" si="45"/>
        <v>0</v>
      </c>
      <c r="N113" s="528">
        <f t="shared" si="45"/>
        <v>0</v>
      </c>
      <c r="O113" s="528">
        <f t="shared" si="45"/>
        <v>0</v>
      </c>
      <c r="P113" s="528">
        <f t="shared" si="45"/>
        <v>0</v>
      </c>
      <c r="Q113" s="528">
        <f t="shared" si="45"/>
        <v>0</v>
      </c>
      <c r="R113" s="528">
        <f t="shared" si="45"/>
        <v>0</v>
      </c>
      <c r="S113" s="528">
        <f t="shared" si="45"/>
        <v>0</v>
      </c>
      <c r="T113" s="528">
        <f t="shared" si="45"/>
        <v>0</v>
      </c>
      <c r="U113" s="528">
        <f t="shared" si="45"/>
        <v>0</v>
      </c>
      <c r="V113" s="528">
        <f t="shared" si="45"/>
        <v>0</v>
      </c>
      <c r="W113" s="528">
        <f t="shared" si="45"/>
        <v>0</v>
      </c>
      <c r="X113" s="528">
        <f t="shared" si="45"/>
        <v>0</v>
      </c>
      <c r="Y113" s="528">
        <f t="shared" si="45"/>
        <v>0</v>
      </c>
      <c r="Z113" s="528">
        <f t="shared" si="45"/>
        <v>0</v>
      </c>
      <c r="AA113" s="528">
        <f t="shared" si="45"/>
        <v>0</v>
      </c>
      <c r="AB113" s="528">
        <f t="shared" si="45"/>
        <v>0</v>
      </c>
      <c r="AC113" s="528">
        <f t="shared" si="45"/>
        <v>0</v>
      </c>
      <c r="AD113" s="528">
        <f t="shared" si="45"/>
        <v>0</v>
      </c>
      <c r="AE113" s="528">
        <f t="shared" si="45"/>
        <v>0</v>
      </c>
      <c r="AF113" s="528">
        <f t="shared" si="45"/>
        <v>0</v>
      </c>
      <c r="AG113" s="528">
        <f t="shared" si="45"/>
        <v>0</v>
      </c>
      <c r="AH113" s="528">
        <f t="shared" si="45"/>
        <v>0</v>
      </c>
      <c r="AI113" s="528">
        <f t="shared" si="45"/>
        <v>0</v>
      </c>
      <c r="AJ113" s="528">
        <f t="shared" si="45"/>
        <v>0</v>
      </c>
      <c r="AK113" s="528">
        <f t="shared" si="45"/>
        <v>0</v>
      </c>
      <c r="AL113" s="528">
        <f t="shared" si="45"/>
        <v>0</v>
      </c>
      <c r="AM113" s="528">
        <f t="shared" si="45"/>
        <v>0</v>
      </c>
      <c r="AN113" s="528">
        <f t="shared" si="45"/>
        <v>0</v>
      </c>
      <c r="AO113" s="528">
        <f t="shared" si="45"/>
        <v>0</v>
      </c>
      <c r="AP113" s="528">
        <f t="shared" si="45"/>
        <v>0</v>
      </c>
      <c r="AQ113" s="529">
        <f t="shared" si="45"/>
        <v>0</v>
      </c>
      <c r="AR113" s="539"/>
    </row>
    <row r="114" spans="1:44" s="1" customFormat="1" x14ac:dyDescent="0.3">
      <c r="B114" s="144" t="s">
        <v>275</v>
      </c>
      <c r="C114" s="505">
        <f>C13+C18</f>
        <v>1106250</v>
      </c>
      <c r="D114" s="504"/>
      <c r="E114" s="505"/>
      <c r="F114" s="505"/>
      <c r="G114" s="505"/>
      <c r="H114" s="505"/>
      <c r="I114" s="505"/>
      <c r="J114" s="505"/>
      <c r="K114" s="505"/>
      <c r="L114" s="505"/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505"/>
      <c r="AE114" s="505"/>
      <c r="AF114" s="505"/>
      <c r="AG114" s="505"/>
      <c r="AH114" s="505"/>
      <c r="AI114" s="505"/>
      <c r="AJ114" s="505"/>
      <c r="AK114" s="505"/>
      <c r="AL114" s="505"/>
      <c r="AM114" s="505"/>
      <c r="AN114" s="505"/>
      <c r="AO114" s="505"/>
      <c r="AP114" s="505"/>
      <c r="AQ114" s="506"/>
      <c r="AR114" s="539"/>
    </row>
    <row r="115" spans="1:44" x14ac:dyDescent="0.3">
      <c r="B115" s="144" t="s">
        <v>276</v>
      </c>
      <c r="C115" s="54"/>
      <c r="D115" s="504">
        <f t="shared" ref="D115:AQ115" si="46">+$C114*D113</f>
        <v>158083.125</v>
      </c>
      <c r="E115" s="504">
        <f t="shared" si="46"/>
        <v>270920.625</v>
      </c>
      <c r="F115" s="504">
        <f t="shared" si="46"/>
        <v>193483.12499999997</v>
      </c>
      <c r="G115" s="504">
        <f t="shared" si="46"/>
        <v>138170.625</v>
      </c>
      <c r="H115" s="504">
        <f t="shared" si="46"/>
        <v>98788.125</v>
      </c>
      <c r="I115" s="504">
        <f t="shared" si="46"/>
        <v>98677.5</v>
      </c>
      <c r="J115" s="504">
        <f t="shared" si="46"/>
        <v>98788.124999999985</v>
      </c>
      <c r="K115" s="504">
        <f t="shared" si="46"/>
        <v>49338.75</v>
      </c>
      <c r="L115" s="504">
        <f t="shared" si="46"/>
        <v>0</v>
      </c>
      <c r="M115" s="504">
        <f t="shared" si="46"/>
        <v>0</v>
      </c>
      <c r="N115" s="504">
        <f t="shared" si="46"/>
        <v>0</v>
      </c>
      <c r="O115" s="504">
        <f t="shared" si="46"/>
        <v>0</v>
      </c>
      <c r="P115" s="504">
        <f t="shared" si="46"/>
        <v>0</v>
      </c>
      <c r="Q115" s="504">
        <f t="shared" si="46"/>
        <v>0</v>
      </c>
      <c r="R115" s="504">
        <f t="shared" si="46"/>
        <v>0</v>
      </c>
      <c r="S115" s="504">
        <f t="shared" si="46"/>
        <v>0</v>
      </c>
      <c r="T115" s="504">
        <f t="shared" si="46"/>
        <v>0</v>
      </c>
      <c r="U115" s="504">
        <f t="shared" si="46"/>
        <v>0</v>
      </c>
      <c r="V115" s="504">
        <f t="shared" si="46"/>
        <v>0</v>
      </c>
      <c r="W115" s="504">
        <f t="shared" si="46"/>
        <v>0</v>
      </c>
      <c r="X115" s="504">
        <f t="shared" si="46"/>
        <v>0</v>
      </c>
      <c r="Y115" s="504">
        <f t="shared" si="46"/>
        <v>0</v>
      </c>
      <c r="Z115" s="504">
        <f t="shared" si="46"/>
        <v>0</v>
      </c>
      <c r="AA115" s="504">
        <f t="shared" si="46"/>
        <v>0</v>
      </c>
      <c r="AB115" s="504">
        <f t="shared" si="46"/>
        <v>0</v>
      </c>
      <c r="AC115" s="504">
        <f t="shared" si="46"/>
        <v>0</v>
      </c>
      <c r="AD115" s="504">
        <f t="shared" si="46"/>
        <v>0</v>
      </c>
      <c r="AE115" s="504">
        <f t="shared" si="46"/>
        <v>0</v>
      </c>
      <c r="AF115" s="504">
        <f t="shared" si="46"/>
        <v>0</v>
      </c>
      <c r="AG115" s="504">
        <f t="shared" si="46"/>
        <v>0</v>
      </c>
      <c r="AH115" s="504">
        <f t="shared" si="46"/>
        <v>0</v>
      </c>
      <c r="AI115" s="504">
        <f t="shared" si="46"/>
        <v>0</v>
      </c>
      <c r="AJ115" s="504">
        <f t="shared" si="46"/>
        <v>0</v>
      </c>
      <c r="AK115" s="504">
        <f t="shared" si="46"/>
        <v>0</v>
      </c>
      <c r="AL115" s="504">
        <f t="shared" si="46"/>
        <v>0</v>
      </c>
      <c r="AM115" s="504">
        <f t="shared" si="46"/>
        <v>0</v>
      </c>
      <c r="AN115" s="504">
        <f t="shared" si="46"/>
        <v>0</v>
      </c>
      <c r="AO115" s="504">
        <f t="shared" si="46"/>
        <v>0</v>
      </c>
      <c r="AP115" s="504">
        <f t="shared" si="46"/>
        <v>0</v>
      </c>
      <c r="AQ115" s="507">
        <f t="shared" si="46"/>
        <v>0</v>
      </c>
    </row>
    <row r="116" spans="1:44" x14ac:dyDescent="0.3">
      <c r="B116" s="144" t="s">
        <v>277</v>
      </c>
      <c r="C116" s="505"/>
      <c r="D116" s="508">
        <f t="shared" ref="D116:AQ116" si="47">+D93</f>
        <v>-10458.546033418415</v>
      </c>
      <c r="E116" s="508">
        <f t="shared" si="47"/>
        <v>-10077.21517204856</v>
      </c>
      <c r="F116" s="508">
        <f t="shared" si="47"/>
        <v>-9677.8586999776835</v>
      </c>
      <c r="G116" s="508">
        <f t="shared" si="47"/>
        <v>-9259.6245418191374</v>
      </c>
      <c r="H116" s="508">
        <f t="shared" si="47"/>
        <v>-8821.6203443573213</v>
      </c>
      <c r="I116" s="508">
        <f t="shared" si="47"/>
        <v>-8362.9115726040454</v>
      </c>
      <c r="J116" s="508">
        <f t="shared" si="47"/>
        <v>-7882.5195158549996</v>
      </c>
      <c r="K116" s="508">
        <f t="shared" si="47"/>
        <v>-7379.4191994919493</v>
      </c>
      <c r="L116" s="508">
        <f t="shared" si="47"/>
        <v>-6852.5371980752916</v>
      </c>
      <c r="M116" s="508">
        <f t="shared" si="47"/>
        <v>-6300.7493450609127</v>
      </c>
      <c r="N116" s="508">
        <f t="shared" si="47"/>
        <v>-5722.878334254754</v>
      </c>
      <c r="O116" s="508">
        <f t="shared" si="47"/>
        <v>-5117.6912078874893</v>
      </c>
      <c r="P116" s="508">
        <f t="shared" si="47"/>
        <v>-4483.8967259498559</v>
      </c>
      <c r="Q116" s="508">
        <f t="shared" si="47"/>
        <v>-3820.1426111757414</v>
      </c>
      <c r="R116" s="508">
        <f t="shared" si="47"/>
        <v>-3125.0126637949106</v>
      </c>
      <c r="S116" s="508">
        <f t="shared" si="47"/>
        <v>-2397.0237398993222</v>
      </c>
      <c r="T116" s="508">
        <f t="shared" si="47"/>
        <v>-1634.6225869760244</v>
      </c>
      <c r="U116" s="508">
        <f t="shared" si="47"/>
        <v>-836.1825298548531</v>
      </c>
      <c r="V116" s="508">
        <f t="shared" si="47"/>
        <v>0</v>
      </c>
      <c r="W116" s="508">
        <f t="shared" si="47"/>
        <v>0</v>
      </c>
      <c r="X116" s="508">
        <f t="shared" si="47"/>
        <v>0</v>
      </c>
      <c r="Y116" s="508">
        <f t="shared" si="47"/>
        <v>0</v>
      </c>
      <c r="Z116" s="508">
        <f t="shared" si="47"/>
        <v>0</v>
      </c>
      <c r="AA116" s="508">
        <f t="shared" si="47"/>
        <v>0</v>
      </c>
      <c r="AB116" s="508">
        <f t="shared" si="47"/>
        <v>0</v>
      </c>
      <c r="AC116" s="508">
        <f t="shared" si="47"/>
        <v>0</v>
      </c>
      <c r="AD116" s="508">
        <f t="shared" si="47"/>
        <v>0</v>
      </c>
      <c r="AE116" s="508">
        <f t="shared" si="47"/>
        <v>0</v>
      </c>
      <c r="AF116" s="508">
        <f t="shared" si="47"/>
        <v>0</v>
      </c>
      <c r="AG116" s="508">
        <f t="shared" si="47"/>
        <v>0</v>
      </c>
      <c r="AH116" s="508">
        <f t="shared" si="47"/>
        <v>0</v>
      </c>
      <c r="AI116" s="508">
        <f t="shared" si="47"/>
        <v>0</v>
      </c>
      <c r="AJ116" s="508">
        <f t="shared" si="47"/>
        <v>0</v>
      </c>
      <c r="AK116" s="508">
        <f t="shared" si="47"/>
        <v>0</v>
      </c>
      <c r="AL116" s="508">
        <f t="shared" si="47"/>
        <v>0</v>
      </c>
      <c r="AM116" s="508">
        <f t="shared" si="47"/>
        <v>0</v>
      </c>
      <c r="AN116" s="508">
        <f t="shared" si="47"/>
        <v>0</v>
      </c>
      <c r="AO116" s="508">
        <f t="shared" si="47"/>
        <v>0</v>
      </c>
      <c r="AP116" s="508">
        <f t="shared" si="47"/>
        <v>0</v>
      </c>
      <c r="AQ116" s="509">
        <f t="shared" si="47"/>
        <v>0</v>
      </c>
    </row>
    <row r="117" spans="1:44" x14ac:dyDescent="0.3">
      <c r="B117" s="144" t="s">
        <v>278</v>
      </c>
      <c r="C117" s="505"/>
      <c r="D117" s="508">
        <f t="shared" ref="D117:AQ117" si="48">+D112-D115+D116</f>
        <v>-43426.124795128955</v>
      </c>
      <c r="E117" s="508">
        <f t="shared" si="48"/>
        <v>-153379.98300899335</v>
      </c>
      <c r="F117" s="508">
        <f t="shared" si="48"/>
        <v>-82014.022041161341</v>
      </c>
      <c r="G117" s="508">
        <f t="shared" si="48"/>
        <v>-23860.348649826468</v>
      </c>
      <c r="H117" s="508">
        <f t="shared" si="48"/>
        <v>18431.553565475198</v>
      </c>
      <c r="I117" s="508">
        <f t="shared" si="48"/>
        <v>21521.713315425121</v>
      </c>
      <c r="J117" s="508">
        <f t="shared" si="48"/>
        <v>24462.72286993474</v>
      </c>
      <c r="K117" s="508">
        <f t="shared" si="48"/>
        <v>77037.865534013588</v>
      </c>
      <c r="L117" s="508">
        <f t="shared" si="48"/>
        <v>129578.61823010034</v>
      </c>
      <c r="M117" s="508">
        <f t="shared" si="48"/>
        <v>132859.02919167827</v>
      </c>
      <c r="N117" s="508">
        <f t="shared" si="48"/>
        <v>136220.09577321919</v>
      </c>
      <c r="O117" s="508">
        <f t="shared" si="48"/>
        <v>139664.14238173596</v>
      </c>
      <c r="P117" s="508">
        <f t="shared" si="48"/>
        <v>143193.57353546601</v>
      </c>
      <c r="Q117" s="508">
        <f t="shared" si="48"/>
        <v>146810.87705546847</v>
      </c>
      <c r="R117" s="508">
        <f t="shared" si="48"/>
        <v>150518.62739618213</v>
      </c>
      <c r="S117" s="508">
        <f t="shared" si="48"/>
        <v>154319.48912127729</v>
      </c>
      <c r="T117" s="508">
        <f t="shared" si="48"/>
        <v>158216.22053142416</v>
      </c>
      <c r="U117" s="508">
        <f t="shared" si="48"/>
        <v>162211.6774509133</v>
      </c>
      <c r="V117" s="508">
        <f t="shared" si="48"/>
        <v>166308.81718038348</v>
      </c>
      <c r="W117" s="508">
        <f t="shared" si="48"/>
        <v>169634.9935239912</v>
      </c>
      <c r="X117" s="508">
        <f t="shared" si="48"/>
        <v>0</v>
      </c>
      <c r="Y117" s="508">
        <f t="shared" si="48"/>
        <v>0</v>
      </c>
      <c r="Z117" s="508">
        <f t="shared" si="48"/>
        <v>0</v>
      </c>
      <c r="AA117" s="508">
        <f t="shared" si="48"/>
        <v>0</v>
      </c>
      <c r="AB117" s="508">
        <f t="shared" si="48"/>
        <v>0</v>
      </c>
      <c r="AC117" s="508">
        <f t="shared" si="48"/>
        <v>0</v>
      </c>
      <c r="AD117" s="508">
        <f t="shared" si="48"/>
        <v>0</v>
      </c>
      <c r="AE117" s="508">
        <f t="shared" si="48"/>
        <v>0</v>
      </c>
      <c r="AF117" s="508">
        <f t="shared" si="48"/>
        <v>0</v>
      </c>
      <c r="AG117" s="508">
        <f t="shared" si="48"/>
        <v>0</v>
      </c>
      <c r="AH117" s="508">
        <f t="shared" si="48"/>
        <v>0</v>
      </c>
      <c r="AI117" s="508">
        <f t="shared" si="48"/>
        <v>0</v>
      </c>
      <c r="AJ117" s="508">
        <f t="shared" si="48"/>
        <v>0</v>
      </c>
      <c r="AK117" s="508">
        <f t="shared" si="48"/>
        <v>0</v>
      </c>
      <c r="AL117" s="508">
        <f t="shared" si="48"/>
        <v>0</v>
      </c>
      <c r="AM117" s="508">
        <f t="shared" si="48"/>
        <v>0</v>
      </c>
      <c r="AN117" s="508">
        <f t="shared" si="48"/>
        <v>0</v>
      </c>
      <c r="AO117" s="508">
        <f t="shared" si="48"/>
        <v>0</v>
      </c>
      <c r="AP117" s="508">
        <f t="shared" si="48"/>
        <v>0</v>
      </c>
      <c r="AQ117" s="509">
        <f t="shared" si="48"/>
        <v>0</v>
      </c>
    </row>
    <row r="118" spans="1:44" x14ac:dyDescent="0.3">
      <c r="B118" s="144" t="s">
        <v>279</v>
      </c>
      <c r="C118" s="528">
        <f>+H7</f>
        <v>8.8400000000000006E-2</v>
      </c>
      <c r="D118" s="508">
        <f t="shared" ref="D118:AQ118" si="49">-$C$118*D117</f>
        <v>3838.8694318893999</v>
      </c>
      <c r="E118" s="508">
        <f t="shared" si="49"/>
        <v>13558.790497995013</v>
      </c>
      <c r="F118" s="508">
        <f t="shared" si="49"/>
        <v>7250.0395484386627</v>
      </c>
      <c r="G118" s="508">
        <f t="shared" si="49"/>
        <v>2109.25482064466</v>
      </c>
      <c r="H118" s="508">
        <f t="shared" si="49"/>
        <v>-1629.3493351880077</v>
      </c>
      <c r="I118" s="508">
        <f t="shared" si="49"/>
        <v>-1902.5194570835808</v>
      </c>
      <c r="J118" s="508">
        <f t="shared" si="49"/>
        <v>-2162.5047017022312</v>
      </c>
      <c r="K118" s="508">
        <f t="shared" si="49"/>
        <v>-6810.1473132068013</v>
      </c>
      <c r="L118" s="508">
        <f t="shared" si="49"/>
        <v>-11454.749851540872</v>
      </c>
      <c r="M118" s="508">
        <f t="shared" si="49"/>
        <v>-11744.73818054436</v>
      </c>
      <c r="N118" s="508">
        <f t="shared" si="49"/>
        <v>-12041.856466352578</v>
      </c>
      <c r="O118" s="508">
        <f t="shared" si="49"/>
        <v>-12346.310186545459</v>
      </c>
      <c r="P118" s="508">
        <f t="shared" si="49"/>
        <v>-12658.311900535196</v>
      </c>
      <c r="Q118" s="508">
        <f t="shared" si="49"/>
        <v>-12978.081531703414</v>
      </c>
      <c r="R118" s="508">
        <f t="shared" si="49"/>
        <v>-13305.846661822501</v>
      </c>
      <c r="S118" s="508">
        <f t="shared" si="49"/>
        <v>-13641.842838320914</v>
      </c>
      <c r="T118" s="508">
        <f t="shared" si="49"/>
        <v>-13986.313894977897</v>
      </c>
      <c r="U118" s="508">
        <f t="shared" si="49"/>
        <v>-14339.512286660736</v>
      </c>
      <c r="V118" s="508">
        <f t="shared" si="49"/>
        <v>-14701.699438745902</v>
      </c>
      <c r="W118" s="508">
        <f t="shared" si="49"/>
        <v>-14995.733427520823</v>
      </c>
      <c r="X118" s="508">
        <f t="shared" si="49"/>
        <v>0</v>
      </c>
      <c r="Y118" s="508">
        <f t="shared" si="49"/>
        <v>0</v>
      </c>
      <c r="Z118" s="508">
        <f t="shared" si="49"/>
        <v>0</v>
      </c>
      <c r="AA118" s="508">
        <f t="shared" si="49"/>
        <v>0</v>
      </c>
      <c r="AB118" s="508">
        <f t="shared" si="49"/>
        <v>0</v>
      </c>
      <c r="AC118" s="508">
        <f t="shared" si="49"/>
        <v>0</v>
      </c>
      <c r="AD118" s="508">
        <f t="shared" si="49"/>
        <v>0</v>
      </c>
      <c r="AE118" s="508">
        <f t="shared" si="49"/>
        <v>0</v>
      </c>
      <c r="AF118" s="508">
        <f t="shared" si="49"/>
        <v>0</v>
      </c>
      <c r="AG118" s="508">
        <f t="shared" si="49"/>
        <v>0</v>
      </c>
      <c r="AH118" s="508">
        <f t="shared" si="49"/>
        <v>0</v>
      </c>
      <c r="AI118" s="508">
        <f t="shared" si="49"/>
        <v>0</v>
      </c>
      <c r="AJ118" s="508">
        <f t="shared" si="49"/>
        <v>0</v>
      </c>
      <c r="AK118" s="508">
        <f t="shared" si="49"/>
        <v>0</v>
      </c>
      <c r="AL118" s="508">
        <f t="shared" si="49"/>
        <v>0</v>
      </c>
      <c r="AM118" s="508">
        <f t="shared" si="49"/>
        <v>0</v>
      </c>
      <c r="AN118" s="508">
        <f t="shared" si="49"/>
        <v>0</v>
      </c>
      <c r="AO118" s="508">
        <f t="shared" si="49"/>
        <v>0</v>
      </c>
      <c r="AP118" s="508">
        <f t="shared" si="49"/>
        <v>0</v>
      </c>
      <c r="AQ118" s="509">
        <f t="shared" si="49"/>
        <v>0</v>
      </c>
    </row>
    <row r="119" spans="1:44" x14ac:dyDescent="0.3">
      <c r="B119" s="144"/>
      <c r="C119" s="52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508"/>
      <c r="AA119" s="508"/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8"/>
      <c r="AL119" s="508"/>
      <c r="AM119" s="508"/>
      <c r="AN119" s="508"/>
      <c r="AO119" s="508"/>
      <c r="AP119" s="508"/>
      <c r="AQ119" s="509"/>
    </row>
    <row r="120" spans="1:44" x14ac:dyDescent="0.3">
      <c r="B120" s="497" t="s">
        <v>280</v>
      </c>
      <c r="C120" s="505"/>
      <c r="D120" s="540"/>
      <c r="E120" s="540"/>
      <c r="F120" s="505"/>
      <c r="G120" s="505"/>
      <c r="H120" s="505"/>
      <c r="I120" s="505"/>
      <c r="J120" s="505"/>
      <c r="K120" s="505"/>
      <c r="L120" s="505"/>
      <c r="M120" s="505"/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5"/>
      <c r="Z120" s="505"/>
      <c r="AA120" s="505"/>
      <c r="AB120" s="505"/>
      <c r="AC120" s="505"/>
      <c r="AD120" s="505"/>
      <c r="AE120" s="505"/>
      <c r="AF120" s="505"/>
      <c r="AG120" s="505"/>
      <c r="AH120" s="505"/>
      <c r="AI120" s="505"/>
      <c r="AJ120" s="505"/>
      <c r="AK120" s="505"/>
      <c r="AL120" s="505"/>
      <c r="AM120" s="505"/>
      <c r="AN120" s="505"/>
      <c r="AO120" s="505"/>
      <c r="AP120" s="505"/>
      <c r="AQ120" s="506"/>
    </row>
    <row r="121" spans="1:44" x14ac:dyDescent="0.3">
      <c r="B121" s="144" t="s">
        <v>273</v>
      </c>
      <c r="C121" s="505"/>
      <c r="D121" s="504">
        <f t="shared" ref="D121:AQ121" si="50">+D91+D96</f>
        <v>125115.54623828946</v>
      </c>
      <c r="E121" s="504">
        <f t="shared" si="50"/>
        <v>127617.85716305522</v>
      </c>
      <c r="F121" s="504">
        <f t="shared" si="50"/>
        <v>121146.96165881632</v>
      </c>
      <c r="G121" s="504">
        <f t="shared" si="50"/>
        <v>123569.90089199267</v>
      </c>
      <c r="H121" s="504">
        <f t="shared" si="50"/>
        <v>126041.29890983252</v>
      </c>
      <c r="I121" s="504">
        <f t="shared" si="50"/>
        <v>128562.12488802917</v>
      </c>
      <c r="J121" s="504">
        <f t="shared" si="50"/>
        <v>131133.36738578972</v>
      </c>
      <c r="K121" s="504">
        <f t="shared" si="50"/>
        <v>133756.03473350554</v>
      </c>
      <c r="L121" s="504">
        <f t="shared" si="50"/>
        <v>136431.15542817564</v>
      </c>
      <c r="M121" s="504">
        <f t="shared" si="50"/>
        <v>139159.77853673918</v>
      </c>
      <c r="N121" s="504">
        <f t="shared" si="50"/>
        <v>141942.97410747394</v>
      </c>
      <c r="O121" s="504">
        <f t="shared" si="50"/>
        <v>144781.83358962345</v>
      </c>
      <c r="P121" s="504">
        <f t="shared" si="50"/>
        <v>147677.47026141587</v>
      </c>
      <c r="Q121" s="504">
        <f t="shared" si="50"/>
        <v>150631.01966664422</v>
      </c>
      <c r="R121" s="504">
        <f t="shared" si="50"/>
        <v>153643.64005997704</v>
      </c>
      <c r="S121" s="504">
        <f t="shared" si="50"/>
        <v>156716.51286117663</v>
      </c>
      <c r="T121" s="504">
        <f t="shared" si="50"/>
        <v>159850.8431184002</v>
      </c>
      <c r="U121" s="504">
        <f t="shared" si="50"/>
        <v>163047.85998076815</v>
      </c>
      <c r="V121" s="504">
        <f t="shared" si="50"/>
        <v>166308.81718038348</v>
      </c>
      <c r="W121" s="504">
        <f t="shared" si="50"/>
        <v>169634.9935239912</v>
      </c>
      <c r="X121" s="504">
        <f t="shared" si="50"/>
        <v>0</v>
      </c>
      <c r="Y121" s="504">
        <f t="shared" si="50"/>
        <v>0</v>
      </c>
      <c r="Z121" s="504">
        <f t="shared" si="50"/>
        <v>0</v>
      </c>
      <c r="AA121" s="504">
        <f t="shared" si="50"/>
        <v>0</v>
      </c>
      <c r="AB121" s="504">
        <f t="shared" si="50"/>
        <v>0</v>
      </c>
      <c r="AC121" s="504">
        <f t="shared" si="50"/>
        <v>0</v>
      </c>
      <c r="AD121" s="504">
        <f t="shared" si="50"/>
        <v>0</v>
      </c>
      <c r="AE121" s="504">
        <f t="shared" si="50"/>
        <v>0</v>
      </c>
      <c r="AF121" s="504">
        <f t="shared" si="50"/>
        <v>0</v>
      </c>
      <c r="AG121" s="504">
        <f t="shared" si="50"/>
        <v>0</v>
      </c>
      <c r="AH121" s="504">
        <f t="shared" si="50"/>
        <v>0</v>
      </c>
      <c r="AI121" s="504">
        <f t="shared" si="50"/>
        <v>0</v>
      </c>
      <c r="AJ121" s="504">
        <f t="shared" si="50"/>
        <v>0</v>
      </c>
      <c r="AK121" s="504">
        <f t="shared" si="50"/>
        <v>0</v>
      </c>
      <c r="AL121" s="504">
        <f t="shared" si="50"/>
        <v>0</v>
      </c>
      <c r="AM121" s="504">
        <f t="shared" si="50"/>
        <v>0</v>
      </c>
      <c r="AN121" s="504">
        <f t="shared" si="50"/>
        <v>0</v>
      </c>
      <c r="AO121" s="504">
        <f t="shared" si="50"/>
        <v>0</v>
      </c>
      <c r="AP121" s="504">
        <f t="shared" si="50"/>
        <v>0</v>
      </c>
      <c r="AQ121" s="507">
        <f t="shared" si="50"/>
        <v>0</v>
      </c>
    </row>
    <row r="122" spans="1:44" x14ac:dyDescent="0.3">
      <c r="B122" s="144" t="s">
        <v>281</v>
      </c>
      <c r="C122" s="505"/>
      <c r="D122" s="528">
        <f t="shared" ref="D122:AQ122" si="51">VLOOKUP($H$15,$C$171:$AQ$178,D170+1)*IF($H$16,1-$H$17,100%)+IF($H$16,IF(D$71=1,$H$17,0%))</f>
        <v>0.1429</v>
      </c>
      <c r="E122" s="528">
        <f t="shared" si="51"/>
        <v>0.24489999999999998</v>
      </c>
      <c r="F122" s="528">
        <f t="shared" si="51"/>
        <v>0.17489999999999997</v>
      </c>
      <c r="G122" s="528">
        <f t="shared" si="51"/>
        <v>0.1249</v>
      </c>
      <c r="H122" s="528">
        <f t="shared" si="51"/>
        <v>8.9300000000000004E-2</v>
      </c>
      <c r="I122" s="528">
        <f t="shared" si="51"/>
        <v>8.9200000000000002E-2</v>
      </c>
      <c r="J122" s="528">
        <f t="shared" si="51"/>
        <v>8.929999999999999E-2</v>
      </c>
      <c r="K122" s="528">
        <f t="shared" si="51"/>
        <v>4.4600000000000001E-2</v>
      </c>
      <c r="L122" s="528">
        <f t="shared" si="51"/>
        <v>0</v>
      </c>
      <c r="M122" s="528">
        <f t="shared" si="51"/>
        <v>0</v>
      </c>
      <c r="N122" s="528">
        <f t="shared" si="51"/>
        <v>0</v>
      </c>
      <c r="O122" s="528">
        <f t="shared" si="51"/>
        <v>0</v>
      </c>
      <c r="P122" s="528">
        <f t="shared" si="51"/>
        <v>0</v>
      </c>
      <c r="Q122" s="528">
        <f t="shared" si="51"/>
        <v>0</v>
      </c>
      <c r="R122" s="528">
        <f t="shared" si="51"/>
        <v>0</v>
      </c>
      <c r="S122" s="528">
        <f t="shared" si="51"/>
        <v>0</v>
      </c>
      <c r="T122" s="528">
        <f t="shared" si="51"/>
        <v>0</v>
      </c>
      <c r="U122" s="528">
        <f t="shared" si="51"/>
        <v>0</v>
      </c>
      <c r="V122" s="528">
        <f t="shared" si="51"/>
        <v>0</v>
      </c>
      <c r="W122" s="528">
        <f t="shared" si="51"/>
        <v>0</v>
      </c>
      <c r="X122" s="528">
        <f t="shared" si="51"/>
        <v>0</v>
      </c>
      <c r="Y122" s="528">
        <f t="shared" si="51"/>
        <v>0</v>
      </c>
      <c r="Z122" s="528">
        <f t="shared" si="51"/>
        <v>0</v>
      </c>
      <c r="AA122" s="528">
        <f t="shared" si="51"/>
        <v>0</v>
      </c>
      <c r="AB122" s="528">
        <f t="shared" si="51"/>
        <v>0</v>
      </c>
      <c r="AC122" s="528">
        <f t="shared" si="51"/>
        <v>0</v>
      </c>
      <c r="AD122" s="528">
        <f t="shared" si="51"/>
        <v>0</v>
      </c>
      <c r="AE122" s="528">
        <f t="shared" si="51"/>
        <v>0</v>
      </c>
      <c r="AF122" s="528">
        <f t="shared" si="51"/>
        <v>0</v>
      </c>
      <c r="AG122" s="528">
        <f t="shared" si="51"/>
        <v>0</v>
      </c>
      <c r="AH122" s="528">
        <f t="shared" si="51"/>
        <v>0</v>
      </c>
      <c r="AI122" s="528">
        <f t="shared" si="51"/>
        <v>0</v>
      </c>
      <c r="AJ122" s="528">
        <f t="shared" si="51"/>
        <v>0</v>
      </c>
      <c r="AK122" s="528">
        <f t="shared" si="51"/>
        <v>0</v>
      </c>
      <c r="AL122" s="528">
        <f t="shared" si="51"/>
        <v>0</v>
      </c>
      <c r="AM122" s="528">
        <f t="shared" si="51"/>
        <v>0</v>
      </c>
      <c r="AN122" s="528">
        <f t="shared" si="51"/>
        <v>0</v>
      </c>
      <c r="AO122" s="528">
        <f t="shared" si="51"/>
        <v>0</v>
      </c>
      <c r="AP122" s="528">
        <f t="shared" si="51"/>
        <v>0</v>
      </c>
      <c r="AQ122" s="529">
        <f t="shared" si="51"/>
        <v>0</v>
      </c>
    </row>
    <row r="123" spans="1:44" x14ac:dyDescent="0.3">
      <c r="B123" s="144" t="s">
        <v>282</v>
      </c>
      <c r="C123" s="505">
        <f>C114-D130*$H$14</f>
        <v>1106250</v>
      </c>
      <c r="D123" s="505"/>
      <c r="E123" s="505"/>
      <c r="F123" s="505"/>
      <c r="G123" s="505"/>
      <c r="H123" s="505"/>
      <c r="I123" s="505"/>
      <c r="J123" s="505"/>
      <c r="K123" s="505"/>
      <c r="L123" s="505"/>
      <c r="M123" s="505"/>
      <c r="N123" s="505"/>
      <c r="O123" s="505"/>
      <c r="P123" s="505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505"/>
      <c r="AE123" s="505"/>
      <c r="AF123" s="505"/>
      <c r="AG123" s="505"/>
      <c r="AH123" s="505"/>
      <c r="AI123" s="505"/>
      <c r="AJ123" s="505"/>
      <c r="AK123" s="505"/>
      <c r="AL123" s="505"/>
      <c r="AM123" s="505"/>
      <c r="AN123" s="505"/>
      <c r="AO123" s="505"/>
      <c r="AP123" s="505"/>
      <c r="AQ123" s="506"/>
    </row>
    <row r="124" spans="1:44" x14ac:dyDescent="0.3">
      <c r="B124" s="144" t="s">
        <v>276</v>
      </c>
      <c r="C124" s="505"/>
      <c r="D124" s="508">
        <f t="shared" ref="D124:AQ124" si="52">+$C123*D122</f>
        <v>158083.125</v>
      </c>
      <c r="E124" s="508">
        <f t="shared" si="52"/>
        <v>270920.625</v>
      </c>
      <c r="F124" s="508">
        <f t="shared" si="52"/>
        <v>193483.12499999997</v>
      </c>
      <c r="G124" s="508">
        <f t="shared" si="52"/>
        <v>138170.625</v>
      </c>
      <c r="H124" s="508">
        <f t="shared" si="52"/>
        <v>98788.125</v>
      </c>
      <c r="I124" s="508">
        <f t="shared" si="52"/>
        <v>98677.5</v>
      </c>
      <c r="J124" s="508">
        <f t="shared" si="52"/>
        <v>98788.124999999985</v>
      </c>
      <c r="K124" s="508">
        <f t="shared" si="52"/>
        <v>49338.75</v>
      </c>
      <c r="L124" s="508">
        <f t="shared" si="52"/>
        <v>0</v>
      </c>
      <c r="M124" s="508">
        <f t="shared" si="52"/>
        <v>0</v>
      </c>
      <c r="N124" s="508">
        <f t="shared" si="52"/>
        <v>0</v>
      </c>
      <c r="O124" s="508">
        <f t="shared" si="52"/>
        <v>0</v>
      </c>
      <c r="P124" s="508">
        <f t="shared" si="52"/>
        <v>0</v>
      </c>
      <c r="Q124" s="508">
        <f t="shared" si="52"/>
        <v>0</v>
      </c>
      <c r="R124" s="508">
        <f t="shared" si="52"/>
        <v>0</v>
      </c>
      <c r="S124" s="508">
        <f t="shared" si="52"/>
        <v>0</v>
      </c>
      <c r="T124" s="508">
        <f t="shared" si="52"/>
        <v>0</v>
      </c>
      <c r="U124" s="508">
        <f t="shared" si="52"/>
        <v>0</v>
      </c>
      <c r="V124" s="508">
        <f t="shared" si="52"/>
        <v>0</v>
      </c>
      <c r="W124" s="508">
        <f t="shared" si="52"/>
        <v>0</v>
      </c>
      <c r="X124" s="508">
        <f t="shared" si="52"/>
        <v>0</v>
      </c>
      <c r="Y124" s="508">
        <f t="shared" si="52"/>
        <v>0</v>
      </c>
      <c r="Z124" s="508">
        <f t="shared" si="52"/>
        <v>0</v>
      </c>
      <c r="AA124" s="508">
        <f t="shared" si="52"/>
        <v>0</v>
      </c>
      <c r="AB124" s="508">
        <f t="shared" si="52"/>
        <v>0</v>
      </c>
      <c r="AC124" s="508">
        <f t="shared" si="52"/>
        <v>0</v>
      </c>
      <c r="AD124" s="508">
        <f t="shared" si="52"/>
        <v>0</v>
      </c>
      <c r="AE124" s="508">
        <f t="shared" si="52"/>
        <v>0</v>
      </c>
      <c r="AF124" s="508">
        <f t="shared" si="52"/>
        <v>0</v>
      </c>
      <c r="AG124" s="508">
        <f t="shared" si="52"/>
        <v>0</v>
      </c>
      <c r="AH124" s="508">
        <f t="shared" si="52"/>
        <v>0</v>
      </c>
      <c r="AI124" s="508">
        <f t="shared" si="52"/>
        <v>0</v>
      </c>
      <c r="AJ124" s="508">
        <f t="shared" si="52"/>
        <v>0</v>
      </c>
      <c r="AK124" s="508">
        <f t="shared" si="52"/>
        <v>0</v>
      </c>
      <c r="AL124" s="508">
        <f t="shared" si="52"/>
        <v>0</v>
      </c>
      <c r="AM124" s="508">
        <f t="shared" si="52"/>
        <v>0</v>
      </c>
      <c r="AN124" s="508">
        <f t="shared" si="52"/>
        <v>0</v>
      </c>
      <c r="AO124" s="508">
        <f t="shared" si="52"/>
        <v>0</v>
      </c>
      <c r="AP124" s="508">
        <f t="shared" si="52"/>
        <v>0</v>
      </c>
      <c r="AQ124" s="509">
        <f t="shared" si="52"/>
        <v>0</v>
      </c>
    </row>
    <row r="125" spans="1:44" s="1" customFormat="1" x14ac:dyDescent="0.3">
      <c r="A125" s="19"/>
      <c r="B125" s="144" t="s">
        <v>277</v>
      </c>
      <c r="C125" s="505"/>
      <c r="D125" s="508">
        <f t="shared" ref="D125:AQ125" si="53">+D93</f>
        <v>-10458.546033418415</v>
      </c>
      <c r="E125" s="508">
        <f t="shared" si="53"/>
        <v>-10077.21517204856</v>
      </c>
      <c r="F125" s="508">
        <f t="shared" si="53"/>
        <v>-9677.8586999776835</v>
      </c>
      <c r="G125" s="508">
        <f t="shared" si="53"/>
        <v>-9259.6245418191374</v>
      </c>
      <c r="H125" s="508">
        <f t="shared" si="53"/>
        <v>-8821.6203443573213</v>
      </c>
      <c r="I125" s="508">
        <f t="shared" si="53"/>
        <v>-8362.9115726040454</v>
      </c>
      <c r="J125" s="508">
        <f t="shared" si="53"/>
        <v>-7882.5195158549996</v>
      </c>
      <c r="K125" s="508">
        <f t="shared" si="53"/>
        <v>-7379.4191994919493</v>
      </c>
      <c r="L125" s="508">
        <f t="shared" si="53"/>
        <v>-6852.5371980752916</v>
      </c>
      <c r="M125" s="508">
        <f t="shared" si="53"/>
        <v>-6300.7493450609127</v>
      </c>
      <c r="N125" s="508">
        <f t="shared" si="53"/>
        <v>-5722.878334254754</v>
      </c>
      <c r="O125" s="508">
        <f t="shared" si="53"/>
        <v>-5117.6912078874893</v>
      </c>
      <c r="P125" s="508">
        <f t="shared" si="53"/>
        <v>-4483.8967259498559</v>
      </c>
      <c r="Q125" s="508">
        <f t="shared" si="53"/>
        <v>-3820.1426111757414</v>
      </c>
      <c r="R125" s="508">
        <f t="shared" si="53"/>
        <v>-3125.0126637949106</v>
      </c>
      <c r="S125" s="508">
        <f t="shared" si="53"/>
        <v>-2397.0237398993222</v>
      </c>
      <c r="T125" s="508">
        <f t="shared" si="53"/>
        <v>-1634.6225869760244</v>
      </c>
      <c r="U125" s="508">
        <f t="shared" si="53"/>
        <v>-836.1825298548531</v>
      </c>
      <c r="V125" s="508">
        <f t="shared" si="53"/>
        <v>0</v>
      </c>
      <c r="W125" s="508">
        <f t="shared" si="53"/>
        <v>0</v>
      </c>
      <c r="X125" s="508">
        <f t="shared" si="53"/>
        <v>0</v>
      </c>
      <c r="Y125" s="508">
        <f t="shared" si="53"/>
        <v>0</v>
      </c>
      <c r="Z125" s="508">
        <f t="shared" si="53"/>
        <v>0</v>
      </c>
      <c r="AA125" s="508">
        <f t="shared" si="53"/>
        <v>0</v>
      </c>
      <c r="AB125" s="508">
        <f t="shared" si="53"/>
        <v>0</v>
      </c>
      <c r="AC125" s="508">
        <f t="shared" si="53"/>
        <v>0</v>
      </c>
      <c r="AD125" s="508">
        <f t="shared" si="53"/>
        <v>0</v>
      </c>
      <c r="AE125" s="508">
        <f t="shared" si="53"/>
        <v>0</v>
      </c>
      <c r="AF125" s="508">
        <f t="shared" si="53"/>
        <v>0</v>
      </c>
      <c r="AG125" s="508">
        <f t="shared" si="53"/>
        <v>0</v>
      </c>
      <c r="AH125" s="508">
        <f t="shared" si="53"/>
        <v>0</v>
      </c>
      <c r="AI125" s="508">
        <f t="shared" si="53"/>
        <v>0</v>
      </c>
      <c r="AJ125" s="508">
        <f t="shared" si="53"/>
        <v>0</v>
      </c>
      <c r="AK125" s="508">
        <f t="shared" si="53"/>
        <v>0</v>
      </c>
      <c r="AL125" s="508">
        <f t="shared" si="53"/>
        <v>0</v>
      </c>
      <c r="AM125" s="508">
        <f t="shared" si="53"/>
        <v>0</v>
      </c>
      <c r="AN125" s="508">
        <f t="shared" si="53"/>
        <v>0</v>
      </c>
      <c r="AO125" s="508">
        <f t="shared" si="53"/>
        <v>0</v>
      </c>
      <c r="AP125" s="508">
        <f t="shared" si="53"/>
        <v>0</v>
      </c>
      <c r="AQ125" s="509">
        <f t="shared" si="53"/>
        <v>0</v>
      </c>
      <c r="AR125" s="117"/>
    </row>
    <row r="126" spans="1:44" s="1" customFormat="1" x14ac:dyDescent="0.3">
      <c r="A126" s="19"/>
      <c r="B126" s="144" t="s">
        <v>283</v>
      </c>
      <c r="C126" s="505"/>
      <c r="D126" s="508">
        <f t="shared" ref="D126:AQ126" si="54">+D118</f>
        <v>3838.8694318893999</v>
      </c>
      <c r="E126" s="508">
        <f t="shared" si="54"/>
        <v>13558.790497995013</v>
      </c>
      <c r="F126" s="508">
        <f t="shared" si="54"/>
        <v>7250.0395484386627</v>
      </c>
      <c r="G126" s="508">
        <f t="shared" si="54"/>
        <v>2109.25482064466</v>
      </c>
      <c r="H126" s="508">
        <f t="shared" si="54"/>
        <v>-1629.3493351880077</v>
      </c>
      <c r="I126" s="508">
        <f t="shared" si="54"/>
        <v>-1902.5194570835808</v>
      </c>
      <c r="J126" s="508">
        <f t="shared" si="54"/>
        <v>-2162.5047017022312</v>
      </c>
      <c r="K126" s="508">
        <f t="shared" si="54"/>
        <v>-6810.1473132068013</v>
      </c>
      <c r="L126" s="508">
        <f t="shared" si="54"/>
        <v>-11454.749851540872</v>
      </c>
      <c r="M126" s="508">
        <f t="shared" si="54"/>
        <v>-11744.73818054436</v>
      </c>
      <c r="N126" s="508">
        <f t="shared" si="54"/>
        <v>-12041.856466352578</v>
      </c>
      <c r="O126" s="508">
        <f t="shared" si="54"/>
        <v>-12346.310186545459</v>
      </c>
      <c r="P126" s="508">
        <f t="shared" si="54"/>
        <v>-12658.311900535196</v>
      </c>
      <c r="Q126" s="508">
        <f t="shared" si="54"/>
        <v>-12978.081531703414</v>
      </c>
      <c r="R126" s="508">
        <f t="shared" si="54"/>
        <v>-13305.846661822501</v>
      </c>
      <c r="S126" s="508">
        <f t="shared" si="54"/>
        <v>-13641.842838320914</v>
      </c>
      <c r="T126" s="508">
        <f t="shared" si="54"/>
        <v>-13986.313894977897</v>
      </c>
      <c r="U126" s="508">
        <f t="shared" si="54"/>
        <v>-14339.512286660736</v>
      </c>
      <c r="V126" s="508">
        <f t="shared" si="54"/>
        <v>-14701.699438745902</v>
      </c>
      <c r="W126" s="508">
        <f t="shared" si="54"/>
        <v>-14995.733427520823</v>
      </c>
      <c r="X126" s="508">
        <f t="shared" si="54"/>
        <v>0</v>
      </c>
      <c r="Y126" s="508">
        <f t="shared" si="54"/>
        <v>0</v>
      </c>
      <c r="Z126" s="508">
        <f t="shared" si="54"/>
        <v>0</v>
      </c>
      <c r="AA126" s="508">
        <f t="shared" si="54"/>
        <v>0</v>
      </c>
      <c r="AB126" s="508">
        <f t="shared" si="54"/>
        <v>0</v>
      </c>
      <c r="AC126" s="508">
        <f t="shared" si="54"/>
        <v>0</v>
      </c>
      <c r="AD126" s="508">
        <f t="shared" si="54"/>
        <v>0</v>
      </c>
      <c r="AE126" s="508">
        <f t="shared" si="54"/>
        <v>0</v>
      </c>
      <c r="AF126" s="508">
        <f t="shared" si="54"/>
        <v>0</v>
      </c>
      <c r="AG126" s="508">
        <f t="shared" si="54"/>
        <v>0</v>
      </c>
      <c r="AH126" s="508">
        <f t="shared" si="54"/>
        <v>0</v>
      </c>
      <c r="AI126" s="508">
        <f t="shared" si="54"/>
        <v>0</v>
      </c>
      <c r="AJ126" s="508">
        <f t="shared" si="54"/>
        <v>0</v>
      </c>
      <c r="AK126" s="508">
        <f t="shared" si="54"/>
        <v>0</v>
      </c>
      <c r="AL126" s="508">
        <f t="shared" si="54"/>
        <v>0</v>
      </c>
      <c r="AM126" s="508">
        <f t="shared" si="54"/>
        <v>0</v>
      </c>
      <c r="AN126" s="508">
        <f t="shared" si="54"/>
        <v>0</v>
      </c>
      <c r="AO126" s="508">
        <f t="shared" si="54"/>
        <v>0</v>
      </c>
      <c r="AP126" s="508">
        <f t="shared" si="54"/>
        <v>0</v>
      </c>
      <c r="AQ126" s="509">
        <f t="shared" si="54"/>
        <v>0</v>
      </c>
      <c r="AR126" s="117"/>
    </row>
    <row r="127" spans="1:44" s="1" customFormat="1" x14ac:dyDescent="0.3">
      <c r="A127" s="19"/>
      <c r="B127" s="144" t="s">
        <v>278</v>
      </c>
      <c r="C127" s="505"/>
      <c r="D127" s="508">
        <f t="shared" ref="D127:AQ127" si="55">+D121-D124+D125+D126</f>
        <v>-39587.255363239557</v>
      </c>
      <c r="E127" s="508">
        <f t="shared" si="55"/>
        <v>-139821.19251099834</v>
      </c>
      <c r="F127" s="508">
        <f t="shared" si="55"/>
        <v>-74763.982492722673</v>
      </c>
      <c r="G127" s="508">
        <f t="shared" si="55"/>
        <v>-21751.093829181809</v>
      </c>
      <c r="H127" s="508">
        <f t="shared" si="55"/>
        <v>16802.204230287192</v>
      </c>
      <c r="I127" s="508">
        <f t="shared" si="55"/>
        <v>19619.193858341539</v>
      </c>
      <c r="J127" s="508">
        <f t="shared" si="55"/>
        <v>22300.21816823251</v>
      </c>
      <c r="K127" s="508">
        <f t="shared" si="55"/>
        <v>70227.718220806782</v>
      </c>
      <c r="L127" s="508">
        <f t="shared" si="55"/>
        <v>118123.86837855948</v>
      </c>
      <c r="M127" s="508">
        <f t="shared" si="55"/>
        <v>121114.29101113392</v>
      </c>
      <c r="N127" s="508">
        <f t="shared" si="55"/>
        <v>124178.23930686661</v>
      </c>
      <c r="O127" s="508">
        <f t="shared" si="55"/>
        <v>127317.83219519051</v>
      </c>
      <c r="P127" s="508">
        <f t="shared" si="55"/>
        <v>130535.26163493082</v>
      </c>
      <c r="Q127" s="508">
        <f t="shared" si="55"/>
        <v>133832.79552376506</v>
      </c>
      <c r="R127" s="508">
        <f t="shared" si="55"/>
        <v>137212.78073435964</v>
      </c>
      <c r="S127" s="508">
        <f t="shared" si="55"/>
        <v>140677.64628295638</v>
      </c>
      <c r="T127" s="508">
        <f t="shared" si="55"/>
        <v>144229.90663644625</v>
      </c>
      <c r="U127" s="508">
        <f t="shared" si="55"/>
        <v>147872.16516425257</v>
      </c>
      <c r="V127" s="508">
        <f t="shared" si="55"/>
        <v>151607.11774163757</v>
      </c>
      <c r="W127" s="508">
        <f t="shared" si="55"/>
        <v>154639.26009647039</v>
      </c>
      <c r="X127" s="508">
        <f t="shared" si="55"/>
        <v>0</v>
      </c>
      <c r="Y127" s="508">
        <f t="shared" si="55"/>
        <v>0</v>
      </c>
      <c r="Z127" s="508">
        <f t="shared" si="55"/>
        <v>0</v>
      </c>
      <c r="AA127" s="508">
        <f t="shared" si="55"/>
        <v>0</v>
      </c>
      <c r="AB127" s="508">
        <f t="shared" si="55"/>
        <v>0</v>
      </c>
      <c r="AC127" s="508">
        <f t="shared" si="55"/>
        <v>0</v>
      </c>
      <c r="AD127" s="508">
        <f t="shared" si="55"/>
        <v>0</v>
      </c>
      <c r="AE127" s="508">
        <f t="shared" si="55"/>
        <v>0</v>
      </c>
      <c r="AF127" s="508">
        <f t="shared" si="55"/>
        <v>0</v>
      </c>
      <c r="AG127" s="508">
        <f t="shared" si="55"/>
        <v>0</v>
      </c>
      <c r="AH127" s="508">
        <f t="shared" si="55"/>
        <v>0</v>
      </c>
      <c r="AI127" s="508">
        <f t="shared" si="55"/>
        <v>0</v>
      </c>
      <c r="AJ127" s="508">
        <f t="shared" si="55"/>
        <v>0</v>
      </c>
      <c r="AK127" s="508">
        <f t="shared" si="55"/>
        <v>0</v>
      </c>
      <c r="AL127" s="508">
        <f t="shared" si="55"/>
        <v>0</v>
      </c>
      <c r="AM127" s="508">
        <f t="shared" si="55"/>
        <v>0</v>
      </c>
      <c r="AN127" s="508">
        <f t="shared" si="55"/>
        <v>0</v>
      </c>
      <c r="AO127" s="508">
        <f t="shared" si="55"/>
        <v>0</v>
      </c>
      <c r="AP127" s="508">
        <f t="shared" si="55"/>
        <v>0</v>
      </c>
      <c r="AQ127" s="509">
        <f t="shared" si="55"/>
        <v>0</v>
      </c>
      <c r="AR127" s="117"/>
    </row>
    <row r="128" spans="1:44" s="1" customFormat="1" x14ac:dyDescent="0.3">
      <c r="A128" s="19"/>
      <c r="B128" s="144" t="s">
        <v>284</v>
      </c>
      <c r="C128" s="528">
        <f>+H6</f>
        <v>0.21</v>
      </c>
      <c r="D128" s="508">
        <f t="shared" ref="D128:AQ128" si="56">-D127*$C128</f>
        <v>8313.3236262803075</v>
      </c>
      <c r="E128" s="508">
        <f t="shared" si="56"/>
        <v>29362.45042730965</v>
      </c>
      <c r="F128" s="508">
        <f t="shared" si="56"/>
        <v>15700.43632347176</v>
      </c>
      <c r="G128" s="508">
        <f t="shared" si="56"/>
        <v>4567.7297041281799</v>
      </c>
      <c r="H128" s="508">
        <f t="shared" si="56"/>
        <v>-3528.4628883603104</v>
      </c>
      <c r="I128" s="508">
        <f t="shared" si="56"/>
        <v>-4120.0307102517236</v>
      </c>
      <c r="J128" s="508">
        <f t="shared" si="56"/>
        <v>-4683.0458153288273</v>
      </c>
      <c r="K128" s="508">
        <f t="shared" si="56"/>
        <v>-14747.820826369423</v>
      </c>
      <c r="L128" s="508">
        <f t="shared" si="56"/>
        <v>-24806.01235949749</v>
      </c>
      <c r="M128" s="508">
        <f t="shared" si="56"/>
        <v>-25434.001112338123</v>
      </c>
      <c r="N128" s="508">
        <f t="shared" si="56"/>
        <v>-26077.430254441988</v>
      </c>
      <c r="O128" s="508">
        <f t="shared" si="56"/>
        <v>-26736.744760990005</v>
      </c>
      <c r="P128" s="508">
        <f t="shared" si="56"/>
        <v>-27412.40494333547</v>
      </c>
      <c r="Q128" s="508">
        <f t="shared" si="56"/>
        <v>-28104.887059990662</v>
      </c>
      <c r="R128" s="508">
        <f t="shared" si="56"/>
        <v>-28814.683954215521</v>
      </c>
      <c r="S128" s="508">
        <f t="shared" si="56"/>
        <v>-29542.305719420838</v>
      </c>
      <c r="T128" s="508">
        <f t="shared" si="56"/>
        <v>-30288.280393653709</v>
      </c>
      <c r="U128" s="508">
        <f t="shared" si="56"/>
        <v>-31053.154684493038</v>
      </c>
      <c r="V128" s="508">
        <f t="shared" si="56"/>
        <v>-31837.494725743891</v>
      </c>
      <c r="W128" s="508">
        <f t="shared" si="56"/>
        <v>-32474.244620258782</v>
      </c>
      <c r="X128" s="508">
        <f t="shared" si="56"/>
        <v>0</v>
      </c>
      <c r="Y128" s="508">
        <f t="shared" si="56"/>
        <v>0</v>
      </c>
      <c r="Z128" s="508">
        <f t="shared" si="56"/>
        <v>0</v>
      </c>
      <c r="AA128" s="508">
        <f t="shared" si="56"/>
        <v>0</v>
      </c>
      <c r="AB128" s="508">
        <f t="shared" si="56"/>
        <v>0</v>
      </c>
      <c r="AC128" s="508">
        <f t="shared" si="56"/>
        <v>0</v>
      </c>
      <c r="AD128" s="508">
        <f t="shared" si="56"/>
        <v>0</v>
      </c>
      <c r="AE128" s="508">
        <f t="shared" si="56"/>
        <v>0</v>
      </c>
      <c r="AF128" s="508">
        <f t="shared" si="56"/>
        <v>0</v>
      </c>
      <c r="AG128" s="508">
        <f t="shared" si="56"/>
        <v>0</v>
      </c>
      <c r="AH128" s="508">
        <f t="shared" si="56"/>
        <v>0</v>
      </c>
      <c r="AI128" s="508">
        <f t="shared" si="56"/>
        <v>0</v>
      </c>
      <c r="AJ128" s="508">
        <f t="shared" si="56"/>
        <v>0</v>
      </c>
      <c r="AK128" s="508">
        <f t="shared" si="56"/>
        <v>0</v>
      </c>
      <c r="AL128" s="508">
        <f t="shared" si="56"/>
        <v>0</v>
      </c>
      <c r="AM128" s="508">
        <f t="shared" si="56"/>
        <v>0</v>
      </c>
      <c r="AN128" s="508">
        <f t="shared" si="56"/>
        <v>0</v>
      </c>
      <c r="AO128" s="508">
        <f t="shared" si="56"/>
        <v>0</v>
      </c>
      <c r="AP128" s="508">
        <f t="shared" si="56"/>
        <v>0</v>
      </c>
      <c r="AQ128" s="509">
        <f t="shared" si="56"/>
        <v>0</v>
      </c>
      <c r="AR128" s="117"/>
    </row>
    <row r="129" spans="1:44" x14ac:dyDescent="0.3">
      <c r="B129" s="144" t="s">
        <v>285</v>
      </c>
      <c r="C129" s="528"/>
      <c r="D129" s="508">
        <f t="shared" ref="D129:AQ129" si="57">IF(D110&lt;=$H$10,$H$9*(1+$H$11)^(D110)*D73,0)</f>
        <v>0</v>
      </c>
      <c r="E129" s="508">
        <f t="shared" si="57"/>
        <v>0</v>
      </c>
      <c r="F129" s="508">
        <f t="shared" si="57"/>
        <v>0</v>
      </c>
      <c r="G129" s="508">
        <f t="shared" si="57"/>
        <v>0</v>
      </c>
      <c r="H129" s="508">
        <f t="shared" si="57"/>
        <v>0</v>
      </c>
      <c r="I129" s="508">
        <f t="shared" si="57"/>
        <v>0</v>
      </c>
      <c r="J129" s="508">
        <f t="shared" si="57"/>
        <v>0</v>
      </c>
      <c r="K129" s="508">
        <f t="shared" si="57"/>
        <v>0</v>
      </c>
      <c r="L129" s="508">
        <f t="shared" si="57"/>
        <v>0</v>
      </c>
      <c r="M129" s="508">
        <f t="shared" si="57"/>
        <v>0</v>
      </c>
      <c r="N129" s="508">
        <f t="shared" si="57"/>
        <v>0</v>
      </c>
      <c r="O129" s="508">
        <f t="shared" si="57"/>
        <v>0</v>
      </c>
      <c r="P129" s="508">
        <f t="shared" si="57"/>
        <v>0</v>
      </c>
      <c r="Q129" s="508">
        <f t="shared" si="57"/>
        <v>0</v>
      </c>
      <c r="R129" s="508">
        <f t="shared" si="57"/>
        <v>0</v>
      </c>
      <c r="S129" s="508">
        <f t="shared" si="57"/>
        <v>0</v>
      </c>
      <c r="T129" s="508">
        <f t="shared" si="57"/>
        <v>0</v>
      </c>
      <c r="U129" s="508">
        <f t="shared" si="57"/>
        <v>0</v>
      </c>
      <c r="V129" s="508">
        <f t="shared" si="57"/>
        <v>0</v>
      </c>
      <c r="W129" s="508">
        <f t="shared" si="57"/>
        <v>0</v>
      </c>
      <c r="X129" s="508">
        <f t="shared" si="57"/>
        <v>0</v>
      </c>
      <c r="Y129" s="508">
        <f t="shared" si="57"/>
        <v>0</v>
      </c>
      <c r="Z129" s="508">
        <f t="shared" si="57"/>
        <v>0</v>
      </c>
      <c r="AA129" s="508">
        <f t="shared" si="57"/>
        <v>0</v>
      </c>
      <c r="AB129" s="508">
        <f t="shared" si="57"/>
        <v>0</v>
      </c>
      <c r="AC129" s="508">
        <f t="shared" si="57"/>
        <v>0</v>
      </c>
      <c r="AD129" s="508">
        <f t="shared" si="57"/>
        <v>0</v>
      </c>
      <c r="AE129" s="508">
        <f t="shared" si="57"/>
        <v>0</v>
      </c>
      <c r="AF129" s="508">
        <f t="shared" si="57"/>
        <v>0</v>
      </c>
      <c r="AG129" s="508">
        <f t="shared" si="57"/>
        <v>0</v>
      </c>
      <c r="AH129" s="508">
        <f t="shared" si="57"/>
        <v>0</v>
      </c>
      <c r="AI129" s="508">
        <f t="shared" si="57"/>
        <v>0</v>
      </c>
      <c r="AJ129" s="508">
        <f t="shared" si="57"/>
        <v>0</v>
      </c>
      <c r="AK129" s="508">
        <f t="shared" si="57"/>
        <v>0</v>
      </c>
      <c r="AL129" s="508">
        <f t="shared" si="57"/>
        <v>0</v>
      </c>
      <c r="AM129" s="508">
        <f t="shared" si="57"/>
        <v>0</v>
      </c>
      <c r="AN129" s="508">
        <f t="shared" si="57"/>
        <v>0</v>
      </c>
      <c r="AO129" s="508">
        <f t="shared" si="57"/>
        <v>0</v>
      </c>
      <c r="AP129" s="508">
        <f t="shared" si="57"/>
        <v>0</v>
      </c>
      <c r="AQ129" s="509">
        <f t="shared" si="57"/>
        <v>0</v>
      </c>
    </row>
    <row r="130" spans="1:44" x14ac:dyDescent="0.3">
      <c r="B130" s="144" t="s">
        <v>286</v>
      </c>
      <c r="C130" s="505"/>
      <c r="D130" s="508">
        <f>IF(D110=1,H12*H13*(C13),0)</f>
        <v>0</v>
      </c>
      <c r="E130" s="505"/>
      <c r="F130" s="505"/>
      <c r="G130" s="505"/>
      <c r="H130" s="505"/>
      <c r="I130" s="505"/>
      <c r="J130" s="505"/>
      <c r="K130" s="505"/>
      <c r="L130" s="505"/>
      <c r="M130" s="505"/>
      <c r="N130" s="505"/>
      <c r="O130" s="505"/>
      <c r="P130" s="505"/>
      <c r="Q130" s="505"/>
      <c r="R130" s="505"/>
      <c r="S130" s="505"/>
      <c r="T130" s="505"/>
      <c r="U130" s="505"/>
      <c r="V130" s="505"/>
      <c r="W130" s="505"/>
      <c r="X130" s="505"/>
      <c r="Y130" s="505"/>
      <c r="Z130" s="505"/>
      <c r="AA130" s="505"/>
      <c r="AB130" s="505"/>
      <c r="AC130" s="505"/>
      <c r="AD130" s="505"/>
      <c r="AE130" s="505"/>
      <c r="AF130" s="505"/>
      <c r="AG130" s="505"/>
      <c r="AH130" s="505"/>
      <c r="AI130" s="505"/>
      <c r="AJ130" s="505"/>
      <c r="AK130" s="505"/>
      <c r="AL130" s="505"/>
      <c r="AM130" s="505"/>
      <c r="AN130" s="505"/>
      <c r="AO130" s="505"/>
      <c r="AP130" s="505"/>
      <c r="AQ130" s="506"/>
    </row>
    <row r="131" spans="1:44" x14ac:dyDescent="0.3">
      <c r="B131" s="144"/>
      <c r="C131" s="505"/>
      <c r="D131" s="508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505"/>
      <c r="AE131" s="505"/>
      <c r="AF131" s="505"/>
      <c r="AG131" s="505"/>
      <c r="AH131" s="505"/>
      <c r="AI131" s="505"/>
      <c r="AJ131" s="505"/>
      <c r="AK131" s="505"/>
      <c r="AL131" s="505"/>
      <c r="AM131" s="505"/>
      <c r="AN131" s="505"/>
      <c r="AO131" s="505"/>
      <c r="AP131" s="505"/>
      <c r="AQ131" s="506"/>
    </row>
    <row r="132" spans="1:44" x14ac:dyDescent="0.3">
      <c r="B132" s="541" t="s">
        <v>287</v>
      </c>
      <c r="C132" s="542"/>
      <c r="D132" s="543">
        <f t="shared" ref="D132:AQ132" si="58">+D130+D129+D128+D118</f>
        <v>12152.193058169707</v>
      </c>
      <c r="E132" s="543">
        <f t="shared" si="58"/>
        <v>42921.240925304664</v>
      </c>
      <c r="F132" s="543">
        <f t="shared" si="58"/>
        <v>22950.475871910421</v>
      </c>
      <c r="G132" s="543">
        <f t="shared" si="58"/>
        <v>6676.9845247728399</v>
      </c>
      <c r="H132" s="543">
        <f t="shared" si="58"/>
        <v>-5157.8122235483179</v>
      </c>
      <c r="I132" s="543">
        <f t="shared" si="58"/>
        <v>-6022.5501673353046</v>
      </c>
      <c r="J132" s="543">
        <f t="shared" si="58"/>
        <v>-6845.5505170310589</v>
      </c>
      <c r="K132" s="543">
        <f t="shared" si="58"/>
        <v>-21557.968139576224</v>
      </c>
      <c r="L132" s="543">
        <f t="shared" si="58"/>
        <v>-36260.76221103836</v>
      </c>
      <c r="M132" s="543">
        <f t="shared" si="58"/>
        <v>-37178.739292882485</v>
      </c>
      <c r="N132" s="543">
        <f t="shared" si="58"/>
        <v>-38119.286720794567</v>
      </c>
      <c r="O132" s="543">
        <f t="shared" si="58"/>
        <v>-39083.054947535464</v>
      </c>
      <c r="P132" s="543">
        <f t="shared" si="58"/>
        <v>-40070.716843870665</v>
      </c>
      <c r="Q132" s="543">
        <f t="shared" si="58"/>
        <v>-41082.96859169408</v>
      </c>
      <c r="R132" s="543">
        <f t="shared" si="58"/>
        <v>-42120.530616038021</v>
      </c>
      <c r="S132" s="543">
        <f t="shared" si="58"/>
        <v>-43184.148557741748</v>
      </c>
      <c r="T132" s="543">
        <f t="shared" si="58"/>
        <v>-44274.594288631604</v>
      </c>
      <c r="U132" s="543">
        <f t="shared" si="58"/>
        <v>-45392.666971153776</v>
      </c>
      <c r="V132" s="543">
        <f t="shared" si="58"/>
        <v>-46539.194164489789</v>
      </c>
      <c r="W132" s="543">
        <f t="shared" si="58"/>
        <v>-47469.978047779601</v>
      </c>
      <c r="X132" s="543">
        <f t="shared" si="58"/>
        <v>0</v>
      </c>
      <c r="Y132" s="543">
        <f t="shared" si="58"/>
        <v>0</v>
      </c>
      <c r="Z132" s="543">
        <f t="shared" si="58"/>
        <v>0</v>
      </c>
      <c r="AA132" s="543">
        <f t="shared" si="58"/>
        <v>0</v>
      </c>
      <c r="AB132" s="543">
        <f t="shared" si="58"/>
        <v>0</v>
      </c>
      <c r="AC132" s="543">
        <f t="shared" si="58"/>
        <v>0</v>
      </c>
      <c r="AD132" s="543">
        <f t="shared" si="58"/>
        <v>0</v>
      </c>
      <c r="AE132" s="543">
        <f t="shared" si="58"/>
        <v>0</v>
      </c>
      <c r="AF132" s="543">
        <f t="shared" si="58"/>
        <v>0</v>
      </c>
      <c r="AG132" s="543">
        <f t="shared" si="58"/>
        <v>0</v>
      </c>
      <c r="AH132" s="543">
        <f t="shared" si="58"/>
        <v>0</v>
      </c>
      <c r="AI132" s="543">
        <f t="shared" si="58"/>
        <v>0</v>
      </c>
      <c r="AJ132" s="543">
        <f t="shared" si="58"/>
        <v>0</v>
      </c>
      <c r="AK132" s="543">
        <f t="shared" si="58"/>
        <v>0</v>
      </c>
      <c r="AL132" s="543">
        <f t="shared" si="58"/>
        <v>0</v>
      </c>
      <c r="AM132" s="543">
        <f t="shared" si="58"/>
        <v>0</v>
      </c>
      <c r="AN132" s="543">
        <f t="shared" si="58"/>
        <v>0</v>
      </c>
      <c r="AO132" s="543">
        <f t="shared" si="58"/>
        <v>0</v>
      </c>
      <c r="AP132" s="543">
        <f t="shared" si="58"/>
        <v>0</v>
      </c>
      <c r="AQ132" s="544">
        <f t="shared" si="58"/>
        <v>0</v>
      </c>
    </row>
    <row r="133" spans="1:44" x14ac:dyDescent="0.3">
      <c r="B133" s="493"/>
      <c r="C133" s="537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</row>
    <row r="134" spans="1:44" x14ac:dyDescent="0.3">
      <c r="A134" s="118"/>
      <c r="B134" s="450"/>
      <c r="C134" s="465"/>
      <c r="D134" s="409"/>
      <c r="E134" s="1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398"/>
      <c r="AF134" s="398"/>
      <c r="AG134" s="398"/>
      <c r="AH134" s="398"/>
      <c r="AI134" s="398"/>
      <c r="AJ134" s="398"/>
      <c r="AK134" s="398"/>
      <c r="AL134" s="398"/>
      <c r="AM134" s="398"/>
      <c r="AN134" s="398"/>
      <c r="AO134" s="398"/>
      <c r="AP134" s="398"/>
      <c r="AQ134" s="398"/>
    </row>
    <row r="135" spans="1:44" x14ac:dyDescent="0.3">
      <c r="B135" s="450"/>
      <c r="C135" s="545"/>
      <c r="D135" s="1"/>
      <c r="E135" s="1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8"/>
      <c r="U135" s="398"/>
      <c r="V135" s="398"/>
      <c r="W135" s="398"/>
      <c r="X135" s="398"/>
      <c r="Y135" s="398"/>
      <c r="Z135" s="398"/>
      <c r="AA135" s="398"/>
      <c r="AB135" s="398"/>
      <c r="AC135" s="398"/>
      <c r="AD135" s="398"/>
      <c r="AE135" s="398"/>
      <c r="AF135" s="398"/>
      <c r="AG135" s="398"/>
      <c r="AH135" s="398"/>
      <c r="AI135" s="398"/>
      <c r="AJ135" s="398"/>
      <c r="AK135" s="398"/>
      <c r="AL135" s="398"/>
      <c r="AM135" s="398"/>
      <c r="AN135" s="398"/>
      <c r="AO135" s="398"/>
      <c r="AP135" s="398"/>
      <c r="AQ135" s="398"/>
    </row>
    <row r="136" spans="1:44" x14ac:dyDescent="0.3">
      <c r="A136" s="546"/>
      <c r="B136" s="547" t="s">
        <v>288</v>
      </c>
      <c r="C136" s="477">
        <v>0</v>
      </c>
      <c r="D136" s="477">
        <v>1</v>
      </c>
      <c r="E136" s="477">
        <v>2</v>
      </c>
      <c r="F136" s="477">
        <v>3</v>
      </c>
      <c r="G136" s="477">
        <v>4</v>
      </c>
      <c r="H136" s="477">
        <v>5</v>
      </c>
      <c r="I136" s="477">
        <v>6</v>
      </c>
      <c r="J136" s="477">
        <v>7</v>
      </c>
      <c r="K136" s="477">
        <v>8</v>
      </c>
      <c r="L136" s="477">
        <v>9</v>
      </c>
      <c r="M136" s="477">
        <v>10</v>
      </c>
      <c r="N136" s="477">
        <v>11</v>
      </c>
      <c r="O136" s="477">
        <v>12</v>
      </c>
      <c r="P136" s="477">
        <v>13</v>
      </c>
      <c r="Q136" s="477">
        <v>14</v>
      </c>
      <c r="R136" s="477">
        <v>15</v>
      </c>
      <c r="S136" s="477">
        <v>16</v>
      </c>
      <c r="T136" s="477">
        <v>17</v>
      </c>
      <c r="U136" s="477">
        <v>18</v>
      </c>
      <c r="V136" s="477">
        <v>19</v>
      </c>
      <c r="W136" s="477">
        <v>20</v>
      </c>
      <c r="X136" s="477">
        <v>21</v>
      </c>
      <c r="Y136" s="477">
        <v>22</v>
      </c>
      <c r="Z136" s="477">
        <v>23</v>
      </c>
      <c r="AA136" s="477">
        <v>24</v>
      </c>
      <c r="AB136" s="477">
        <v>25</v>
      </c>
      <c r="AC136" s="477">
        <v>26</v>
      </c>
      <c r="AD136" s="477">
        <v>27</v>
      </c>
      <c r="AE136" s="477">
        <v>28</v>
      </c>
      <c r="AF136" s="477">
        <v>29</v>
      </c>
      <c r="AG136" s="477">
        <v>30</v>
      </c>
      <c r="AH136" s="477">
        <v>31</v>
      </c>
      <c r="AI136" s="477">
        <v>32</v>
      </c>
      <c r="AJ136" s="477">
        <v>33</v>
      </c>
      <c r="AK136" s="477">
        <v>34</v>
      </c>
      <c r="AL136" s="477">
        <v>35</v>
      </c>
      <c r="AM136" s="477">
        <v>36</v>
      </c>
      <c r="AN136" s="477">
        <v>37</v>
      </c>
      <c r="AO136" s="477">
        <v>38</v>
      </c>
      <c r="AP136" s="477">
        <v>39</v>
      </c>
      <c r="AQ136" s="478">
        <v>40</v>
      </c>
    </row>
    <row r="137" spans="1:44" x14ac:dyDescent="0.3">
      <c r="B137" s="548" t="s">
        <v>289</v>
      </c>
      <c r="C137" s="549"/>
      <c r="D137" s="550">
        <f t="shared" ref="D137:AQ137" si="59">IF(D139&gt;0, 1, 0)</f>
        <v>1</v>
      </c>
      <c r="E137" s="550">
        <f t="shared" si="59"/>
        <v>1</v>
      </c>
      <c r="F137" s="550">
        <f t="shared" si="59"/>
        <v>1</v>
      </c>
      <c r="G137" s="550">
        <f t="shared" si="59"/>
        <v>1</v>
      </c>
      <c r="H137" s="550">
        <f t="shared" si="59"/>
        <v>1</v>
      </c>
      <c r="I137" s="550">
        <f t="shared" si="59"/>
        <v>1</v>
      </c>
      <c r="J137" s="550">
        <f t="shared" si="59"/>
        <v>1</v>
      </c>
      <c r="K137" s="550">
        <f t="shared" si="59"/>
        <v>1</v>
      </c>
      <c r="L137" s="550">
        <f t="shared" si="59"/>
        <v>1</v>
      </c>
      <c r="M137" s="550">
        <f t="shared" si="59"/>
        <v>1</v>
      </c>
      <c r="N137" s="550">
        <f t="shared" si="59"/>
        <v>1</v>
      </c>
      <c r="O137" s="550">
        <f t="shared" si="59"/>
        <v>1</v>
      </c>
      <c r="P137" s="550">
        <f t="shared" si="59"/>
        <v>1</v>
      </c>
      <c r="Q137" s="550">
        <f t="shared" si="59"/>
        <v>1</v>
      </c>
      <c r="R137" s="550">
        <f t="shared" si="59"/>
        <v>1</v>
      </c>
      <c r="S137" s="550">
        <f t="shared" si="59"/>
        <v>1</v>
      </c>
      <c r="T137" s="550">
        <f t="shared" si="59"/>
        <v>1</v>
      </c>
      <c r="U137" s="550">
        <f t="shared" si="59"/>
        <v>1</v>
      </c>
      <c r="V137" s="550">
        <f t="shared" si="59"/>
        <v>0</v>
      </c>
      <c r="W137" s="550">
        <f t="shared" si="59"/>
        <v>0</v>
      </c>
      <c r="X137" s="550">
        <f t="shared" si="59"/>
        <v>0</v>
      </c>
      <c r="Y137" s="550">
        <f t="shared" si="59"/>
        <v>0</v>
      </c>
      <c r="Z137" s="550">
        <f t="shared" si="59"/>
        <v>0</v>
      </c>
      <c r="AA137" s="550">
        <f t="shared" si="59"/>
        <v>0</v>
      </c>
      <c r="AB137" s="550">
        <f t="shared" si="59"/>
        <v>0</v>
      </c>
      <c r="AC137" s="550">
        <f t="shared" si="59"/>
        <v>0</v>
      </c>
      <c r="AD137" s="550">
        <f t="shared" si="59"/>
        <v>0</v>
      </c>
      <c r="AE137" s="550">
        <f t="shared" si="59"/>
        <v>0</v>
      </c>
      <c r="AF137" s="550">
        <f t="shared" si="59"/>
        <v>0</v>
      </c>
      <c r="AG137" s="550">
        <f t="shared" si="59"/>
        <v>0</v>
      </c>
      <c r="AH137" s="550">
        <f t="shared" si="59"/>
        <v>0</v>
      </c>
      <c r="AI137" s="550">
        <f t="shared" si="59"/>
        <v>0</v>
      </c>
      <c r="AJ137" s="550">
        <f t="shared" si="59"/>
        <v>0</v>
      </c>
      <c r="AK137" s="550">
        <f t="shared" si="59"/>
        <v>0</v>
      </c>
      <c r="AL137" s="550">
        <f t="shared" si="59"/>
        <v>0</v>
      </c>
      <c r="AM137" s="550">
        <f t="shared" si="59"/>
        <v>0</v>
      </c>
      <c r="AN137" s="550">
        <f t="shared" si="59"/>
        <v>0</v>
      </c>
      <c r="AO137" s="550">
        <f t="shared" si="59"/>
        <v>0</v>
      </c>
      <c r="AP137" s="550">
        <f t="shared" si="59"/>
        <v>0</v>
      </c>
      <c r="AQ137" s="551">
        <f t="shared" si="59"/>
        <v>0</v>
      </c>
      <c r="AR137" s="118"/>
    </row>
    <row r="138" spans="1:44" x14ac:dyDescent="0.3">
      <c r="B138" s="144" t="s">
        <v>290</v>
      </c>
      <c r="C138" s="505"/>
      <c r="D138" s="479">
        <f t="shared" ref="D138:AQ138" si="60">C142</f>
        <v>221250</v>
      </c>
      <c r="E138" s="479">
        <f t="shared" si="60"/>
        <v>213182.96536550167</v>
      </c>
      <c r="F138" s="479">
        <f t="shared" si="60"/>
        <v>204734.5998696335</v>
      </c>
      <c r="G138" s="479">
        <f t="shared" si="60"/>
        <v>195886.87790169445</v>
      </c>
      <c r="H138" s="479">
        <f t="shared" si="60"/>
        <v>186620.92177559686</v>
      </c>
      <c r="I138" s="479">
        <f t="shared" si="60"/>
        <v>176916.96145203745</v>
      </c>
      <c r="J138" s="479">
        <f t="shared" si="60"/>
        <v>166754.29235672476</v>
      </c>
      <c r="K138" s="479">
        <f t="shared" si="60"/>
        <v>156111.23120466302</v>
      </c>
      <c r="L138" s="479">
        <f t="shared" si="60"/>
        <v>144965.06973623822</v>
      </c>
      <c r="M138" s="479">
        <f t="shared" si="60"/>
        <v>133292.02626639677</v>
      </c>
      <c r="N138" s="479">
        <f t="shared" si="60"/>
        <v>121067.19494354095</v>
      </c>
      <c r="O138" s="479">
        <f t="shared" si="60"/>
        <v>108264.49260987896</v>
      </c>
      <c r="P138" s="479">
        <f t="shared" si="60"/>
        <v>94856.603149849703</v>
      </c>
      <c r="Q138" s="479">
        <f t="shared" si="60"/>
        <v>80814.91920788282</v>
      </c>
      <c r="R138" s="479">
        <f t="shared" si="60"/>
        <v>66109.481151141823</v>
      </c>
      <c r="S138" s="479">
        <f t="shared" si="60"/>
        <v>50708.913147019994</v>
      </c>
      <c r="T138" s="479">
        <f t="shared" si="60"/>
        <v>34580.356219002577</v>
      </c>
      <c r="U138" s="479">
        <f t="shared" si="60"/>
        <v>17689.398138061861</v>
      </c>
      <c r="V138" s="479">
        <f t="shared" si="60"/>
        <v>-2.5465851649641991E-11</v>
      </c>
      <c r="W138" s="479">
        <f t="shared" si="60"/>
        <v>-2.5465851649641991E-11</v>
      </c>
      <c r="X138" s="479">
        <f t="shared" si="60"/>
        <v>-2.5465851649641991E-11</v>
      </c>
      <c r="Y138" s="479">
        <f t="shared" si="60"/>
        <v>-2.5465851649641991E-11</v>
      </c>
      <c r="Z138" s="479">
        <f t="shared" si="60"/>
        <v>-2.5465851649641991E-11</v>
      </c>
      <c r="AA138" s="479">
        <f t="shared" si="60"/>
        <v>-2.5465851649641991E-11</v>
      </c>
      <c r="AB138" s="479">
        <f t="shared" si="60"/>
        <v>-2.5465851649641991E-11</v>
      </c>
      <c r="AC138" s="479">
        <f t="shared" si="60"/>
        <v>-2.5465851649641991E-11</v>
      </c>
      <c r="AD138" s="479">
        <f t="shared" si="60"/>
        <v>-2.5465851649641991E-11</v>
      </c>
      <c r="AE138" s="479">
        <f t="shared" si="60"/>
        <v>-2.5465851649641991E-11</v>
      </c>
      <c r="AF138" s="479">
        <f t="shared" si="60"/>
        <v>-2.5465851649641991E-11</v>
      </c>
      <c r="AG138" s="479">
        <f t="shared" si="60"/>
        <v>-2.5465851649641991E-11</v>
      </c>
      <c r="AH138" s="479">
        <f t="shared" si="60"/>
        <v>-2.5465851649641991E-11</v>
      </c>
      <c r="AI138" s="479">
        <f t="shared" si="60"/>
        <v>-2.5465851649641991E-11</v>
      </c>
      <c r="AJ138" s="479">
        <f t="shared" si="60"/>
        <v>-2.5465851649641991E-11</v>
      </c>
      <c r="AK138" s="479">
        <f t="shared" si="60"/>
        <v>-2.5465851649641991E-11</v>
      </c>
      <c r="AL138" s="479">
        <f t="shared" si="60"/>
        <v>-2.5465851649641991E-11</v>
      </c>
      <c r="AM138" s="479">
        <f t="shared" si="60"/>
        <v>-2.5465851649641991E-11</v>
      </c>
      <c r="AN138" s="479">
        <f t="shared" si="60"/>
        <v>-2.5465851649641991E-11</v>
      </c>
      <c r="AO138" s="479">
        <f t="shared" si="60"/>
        <v>-2.5465851649641991E-11</v>
      </c>
      <c r="AP138" s="479">
        <f t="shared" si="60"/>
        <v>-2.5465851649641991E-11</v>
      </c>
      <c r="AQ138" s="480">
        <f t="shared" si="60"/>
        <v>-2.5465851649641991E-11</v>
      </c>
    </row>
    <row r="139" spans="1:44" x14ac:dyDescent="0.3">
      <c r="B139" s="144" t="s">
        <v>291</v>
      </c>
      <c r="C139" s="505"/>
      <c r="D139" s="479">
        <f t="shared" ref="D139:AQ139" si="61">IF(AND(D136&gt;0,$H$25&gt;=D136),-PMT($H$23,$H$25,$H$31),0)</f>
        <v>18525.58066791674</v>
      </c>
      <c r="E139" s="479">
        <f t="shared" si="61"/>
        <v>18525.58066791674</v>
      </c>
      <c r="F139" s="479">
        <f t="shared" si="61"/>
        <v>18525.58066791674</v>
      </c>
      <c r="G139" s="479">
        <f t="shared" si="61"/>
        <v>18525.58066791674</v>
      </c>
      <c r="H139" s="479">
        <f t="shared" si="61"/>
        <v>18525.58066791674</v>
      </c>
      <c r="I139" s="479">
        <f t="shared" si="61"/>
        <v>18525.58066791674</v>
      </c>
      <c r="J139" s="479">
        <f t="shared" si="61"/>
        <v>18525.58066791674</v>
      </c>
      <c r="K139" s="479">
        <f t="shared" si="61"/>
        <v>18525.58066791674</v>
      </c>
      <c r="L139" s="479">
        <f t="shared" si="61"/>
        <v>18525.58066791674</v>
      </c>
      <c r="M139" s="479">
        <f t="shared" si="61"/>
        <v>18525.58066791674</v>
      </c>
      <c r="N139" s="479">
        <f t="shared" si="61"/>
        <v>18525.58066791674</v>
      </c>
      <c r="O139" s="479">
        <f t="shared" si="61"/>
        <v>18525.58066791674</v>
      </c>
      <c r="P139" s="479">
        <f t="shared" si="61"/>
        <v>18525.58066791674</v>
      </c>
      <c r="Q139" s="479">
        <f t="shared" si="61"/>
        <v>18525.58066791674</v>
      </c>
      <c r="R139" s="479">
        <f t="shared" si="61"/>
        <v>18525.58066791674</v>
      </c>
      <c r="S139" s="479">
        <f t="shared" si="61"/>
        <v>18525.58066791674</v>
      </c>
      <c r="T139" s="479">
        <f t="shared" si="61"/>
        <v>18525.58066791674</v>
      </c>
      <c r="U139" s="479">
        <f t="shared" si="61"/>
        <v>18525.58066791674</v>
      </c>
      <c r="V139" s="479">
        <f t="shared" si="61"/>
        <v>0</v>
      </c>
      <c r="W139" s="479">
        <f t="shared" si="61"/>
        <v>0</v>
      </c>
      <c r="X139" s="479">
        <f t="shared" si="61"/>
        <v>0</v>
      </c>
      <c r="Y139" s="479">
        <f t="shared" si="61"/>
        <v>0</v>
      </c>
      <c r="Z139" s="479">
        <f t="shared" si="61"/>
        <v>0</v>
      </c>
      <c r="AA139" s="479">
        <f t="shared" si="61"/>
        <v>0</v>
      </c>
      <c r="AB139" s="479">
        <f t="shared" si="61"/>
        <v>0</v>
      </c>
      <c r="AC139" s="479">
        <f t="shared" si="61"/>
        <v>0</v>
      </c>
      <c r="AD139" s="479">
        <f t="shared" si="61"/>
        <v>0</v>
      </c>
      <c r="AE139" s="479">
        <f t="shared" si="61"/>
        <v>0</v>
      </c>
      <c r="AF139" s="479">
        <f t="shared" si="61"/>
        <v>0</v>
      </c>
      <c r="AG139" s="479">
        <f t="shared" si="61"/>
        <v>0</v>
      </c>
      <c r="AH139" s="479">
        <f t="shared" si="61"/>
        <v>0</v>
      </c>
      <c r="AI139" s="479">
        <f t="shared" si="61"/>
        <v>0</v>
      </c>
      <c r="AJ139" s="479">
        <f t="shared" si="61"/>
        <v>0</v>
      </c>
      <c r="AK139" s="479">
        <f t="shared" si="61"/>
        <v>0</v>
      </c>
      <c r="AL139" s="479">
        <f t="shared" si="61"/>
        <v>0</v>
      </c>
      <c r="AM139" s="479">
        <f t="shared" si="61"/>
        <v>0</v>
      </c>
      <c r="AN139" s="479">
        <f t="shared" si="61"/>
        <v>0</v>
      </c>
      <c r="AO139" s="479">
        <f t="shared" si="61"/>
        <v>0</v>
      </c>
      <c r="AP139" s="479">
        <f t="shared" si="61"/>
        <v>0</v>
      </c>
      <c r="AQ139" s="480">
        <f t="shared" si="61"/>
        <v>0</v>
      </c>
      <c r="AR139" s="546"/>
    </row>
    <row r="140" spans="1:44" s="118" customFormat="1" x14ac:dyDescent="0.3">
      <c r="A140" s="19"/>
      <c r="B140" s="144" t="s">
        <v>277</v>
      </c>
      <c r="C140" s="505"/>
      <c r="D140" s="479">
        <f t="shared" ref="D140:AQ140" si="62">IF(AND(D138&gt;0,$H$25&gt;=D136),D138*$H$23,0)</f>
        <v>10458.546033418415</v>
      </c>
      <c r="E140" s="479">
        <f t="shared" si="62"/>
        <v>10077.215172048556</v>
      </c>
      <c r="F140" s="479">
        <f t="shared" si="62"/>
        <v>9677.8586999776817</v>
      </c>
      <c r="G140" s="479">
        <f t="shared" si="62"/>
        <v>9259.6245418191374</v>
      </c>
      <c r="H140" s="479">
        <f t="shared" si="62"/>
        <v>8821.6203443573195</v>
      </c>
      <c r="I140" s="479">
        <f t="shared" si="62"/>
        <v>8362.9115726040454</v>
      </c>
      <c r="J140" s="479">
        <f t="shared" si="62"/>
        <v>7882.5195158549996</v>
      </c>
      <c r="K140" s="479">
        <f t="shared" si="62"/>
        <v>7379.4191994919493</v>
      </c>
      <c r="L140" s="479">
        <f t="shared" si="62"/>
        <v>6852.5371980752916</v>
      </c>
      <c r="M140" s="479">
        <f t="shared" si="62"/>
        <v>6300.7493450609145</v>
      </c>
      <c r="N140" s="479">
        <f t="shared" si="62"/>
        <v>5722.878334254754</v>
      </c>
      <c r="O140" s="479">
        <f t="shared" si="62"/>
        <v>5117.6912078874893</v>
      </c>
      <c r="P140" s="479">
        <f t="shared" si="62"/>
        <v>4483.896725949855</v>
      </c>
      <c r="Q140" s="479">
        <f t="shared" si="62"/>
        <v>3820.1426111757405</v>
      </c>
      <c r="R140" s="479">
        <f t="shared" si="62"/>
        <v>3125.0126637949102</v>
      </c>
      <c r="S140" s="479">
        <f t="shared" si="62"/>
        <v>2397.0237398993218</v>
      </c>
      <c r="T140" s="479">
        <f t="shared" si="62"/>
        <v>1634.6225869760237</v>
      </c>
      <c r="U140" s="479">
        <f t="shared" si="62"/>
        <v>836.18252985485196</v>
      </c>
      <c r="V140" s="479">
        <f t="shared" si="62"/>
        <v>0</v>
      </c>
      <c r="W140" s="479">
        <f t="shared" si="62"/>
        <v>0</v>
      </c>
      <c r="X140" s="479">
        <f t="shared" si="62"/>
        <v>0</v>
      </c>
      <c r="Y140" s="479">
        <f t="shared" si="62"/>
        <v>0</v>
      </c>
      <c r="Z140" s="479">
        <f t="shared" si="62"/>
        <v>0</v>
      </c>
      <c r="AA140" s="479">
        <f t="shared" si="62"/>
        <v>0</v>
      </c>
      <c r="AB140" s="479">
        <f t="shared" si="62"/>
        <v>0</v>
      </c>
      <c r="AC140" s="479">
        <f t="shared" si="62"/>
        <v>0</v>
      </c>
      <c r="AD140" s="479">
        <f t="shared" si="62"/>
        <v>0</v>
      </c>
      <c r="AE140" s="479">
        <f t="shared" si="62"/>
        <v>0</v>
      </c>
      <c r="AF140" s="479">
        <f t="shared" si="62"/>
        <v>0</v>
      </c>
      <c r="AG140" s="479">
        <f t="shared" si="62"/>
        <v>0</v>
      </c>
      <c r="AH140" s="479">
        <f t="shared" si="62"/>
        <v>0</v>
      </c>
      <c r="AI140" s="479">
        <f t="shared" si="62"/>
        <v>0</v>
      </c>
      <c r="AJ140" s="479">
        <f t="shared" si="62"/>
        <v>0</v>
      </c>
      <c r="AK140" s="479">
        <f t="shared" si="62"/>
        <v>0</v>
      </c>
      <c r="AL140" s="479">
        <f t="shared" si="62"/>
        <v>0</v>
      </c>
      <c r="AM140" s="479">
        <f t="shared" si="62"/>
        <v>0</v>
      </c>
      <c r="AN140" s="479">
        <f t="shared" si="62"/>
        <v>0</v>
      </c>
      <c r="AO140" s="479">
        <f t="shared" si="62"/>
        <v>0</v>
      </c>
      <c r="AP140" s="479">
        <f t="shared" si="62"/>
        <v>0</v>
      </c>
      <c r="AQ140" s="480">
        <f t="shared" si="62"/>
        <v>0</v>
      </c>
      <c r="AR140" s="19"/>
    </row>
    <row r="141" spans="1:44" x14ac:dyDescent="0.3">
      <c r="B141" s="144" t="s">
        <v>292</v>
      </c>
      <c r="C141" s="505"/>
      <c r="D141" s="479">
        <f t="shared" ref="D141:AQ141" si="63">IF($H$25&gt;=D136,D139-D140,0)</f>
        <v>8067.0346344983245</v>
      </c>
      <c r="E141" s="479">
        <f t="shared" si="63"/>
        <v>8448.3654958681836</v>
      </c>
      <c r="F141" s="479">
        <f t="shared" si="63"/>
        <v>8847.7219679390582</v>
      </c>
      <c r="G141" s="479">
        <f t="shared" si="63"/>
        <v>9265.9561260976025</v>
      </c>
      <c r="H141" s="479">
        <f t="shared" si="63"/>
        <v>9703.9603235594204</v>
      </c>
      <c r="I141" s="479">
        <f t="shared" si="63"/>
        <v>10162.669095312694</v>
      </c>
      <c r="J141" s="479">
        <f t="shared" si="63"/>
        <v>10643.06115206174</v>
      </c>
      <c r="K141" s="479">
        <f t="shared" si="63"/>
        <v>11146.161468424791</v>
      </c>
      <c r="L141" s="479">
        <f t="shared" si="63"/>
        <v>11673.043469841448</v>
      </c>
      <c r="M141" s="479">
        <f t="shared" si="63"/>
        <v>12224.831322855825</v>
      </c>
      <c r="N141" s="479">
        <f t="shared" si="63"/>
        <v>12802.702333661986</v>
      </c>
      <c r="O141" s="479">
        <f t="shared" si="63"/>
        <v>13407.889460029251</v>
      </c>
      <c r="P141" s="479">
        <f t="shared" si="63"/>
        <v>14041.683941966885</v>
      </c>
      <c r="Q141" s="479">
        <f t="shared" si="63"/>
        <v>14705.438056740999</v>
      </c>
      <c r="R141" s="479">
        <f t="shared" si="63"/>
        <v>15400.568004121829</v>
      </c>
      <c r="S141" s="479">
        <f t="shared" si="63"/>
        <v>16128.556928017419</v>
      </c>
      <c r="T141" s="479">
        <f t="shared" si="63"/>
        <v>16890.958080940716</v>
      </c>
      <c r="U141" s="479">
        <f t="shared" si="63"/>
        <v>17689.398138061886</v>
      </c>
      <c r="V141" s="479">
        <f t="shared" si="63"/>
        <v>0</v>
      </c>
      <c r="W141" s="479">
        <f t="shared" si="63"/>
        <v>0</v>
      </c>
      <c r="X141" s="479">
        <f t="shared" si="63"/>
        <v>0</v>
      </c>
      <c r="Y141" s="479">
        <f t="shared" si="63"/>
        <v>0</v>
      </c>
      <c r="Z141" s="479">
        <f t="shared" si="63"/>
        <v>0</v>
      </c>
      <c r="AA141" s="479">
        <f t="shared" si="63"/>
        <v>0</v>
      </c>
      <c r="AB141" s="479">
        <f t="shared" si="63"/>
        <v>0</v>
      </c>
      <c r="AC141" s="479">
        <f t="shared" si="63"/>
        <v>0</v>
      </c>
      <c r="AD141" s="479">
        <f t="shared" si="63"/>
        <v>0</v>
      </c>
      <c r="AE141" s="479">
        <f t="shared" si="63"/>
        <v>0</v>
      </c>
      <c r="AF141" s="479">
        <f t="shared" si="63"/>
        <v>0</v>
      </c>
      <c r="AG141" s="479">
        <f t="shared" si="63"/>
        <v>0</v>
      </c>
      <c r="AH141" s="479">
        <f t="shared" si="63"/>
        <v>0</v>
      </c>
      <c r="AI141" s="479">
        <f t="shared" si="63"/>
        <v>0</v>
      </c>
      <c r="AJ141" s="479">
        <f t="shared" si="63"/>
        <v>0</v>
      </c>
      <c r="AK141" s="479">
        <f t="shared" si="63"/>
        <v>0</v>
      </c>
      <c r="AL141" s="479">
        <f t="shared" si="63"/>
        <v>0</v>
      </c>
      <c r="AM141" s="479">
        <f t="shared" si="63"/>
        <v>0</v>
      </c>
      <c r="AN141" s="479">
        <f t="shared" si="63"/>
        <v>0</v>
      </c>
      <c r="AO141" s="479">
        <f t="shared" si="63"/>
        <v>0</v>
      </c>
      <c r="AP141" s="479">
        <f t="shared" si="63"/>
        <v>0</v>
      </c>
      <c r="AQ141" s="480">
        <f t="shared" si="63"/>
        <v>0</v>
      </c>
    </row>
    <row r="142" spans="1:44" x14ac:dyDescent="0.3">
      <c r="B142" s="160" t="s">
        <v>293</v>
      </c>
      <c r="C142" s="552">
        <f t="shared" ref="C142:AP142" si="64">IF(D136=1, IF($H$25&gt;=D136,$H$31,0), C138-C141)</f>
        <v>221250</v>
      </c>
      <c r="D142" s="552">
        <f t="shared" si="64"/>
        <v>213182.96536550167</v>
      </c>
      <c r="E142" s="552">
        <f t="shared" si="64"/>
        <v>204734.5998696335</v>
      </c>
      <c r="F142" s="552">
        <f t="shared" si="64"/>
        <v>195886.87790169445</v>
      </c>
      <c r="G142" s="552">
        <f t="shared" si="64"/>
        <v>186620.92177559686</v>
      </c>
      <c r="H142" s="552">
        <f t="shared" si="64"/>
        <v>176916.96145203745</v>
      </c>
      <c r="I142" s="552">
        <f t="shared" si="64"/>
        <v>166754.29235672476</v>
      </c>
      <c r="J142" s="552">
        <f t="shared" si="64"/>
        <v>156111.23120466302</v>
      </c>
      <c r="K142" s="552">
        <f t="shared" si="64"/>
        <v>144965.06973623822</v>
      </c>
      <c r="L142" s="552">
        <f t="shared" si="64"/>
        <v>133292.02626639677</v>
      </c>
      <c r="M142" s="552">
        <f t="shared" si="64"/>
        <v>121067.19494354095</v>
      </c>
      <c r="N142" s="552">
        <f t="shared" si="64"/>
        <v>108264.49260987896</v>
      </c>
      <c r="O142" s="552">
        <f t="shared" si="64"/>
        <v>94856.603149849703</v>
      </c>
      <c r="P142" s="552">
        <f t="shared" si="64"/>
        <v>80814.91920788282</v>
      </c>
      <c r="Q142" s="552">
        <f t="shared" si="64"/>
        <v>66109.481151141823</v>
      </c>
      <c r="R142" s="552">
        <f t="shared" si="64"/>
        <v>50708.913147019994</v>
      </c>
      <c r="S142" s="552">
        <f t="shared" si="64"/>
        <v>34580.356219002577</v>
      </c>
      <c r="T142" s="552">
        <f t="shared" si="64"/>
        <v>17689.398138061861</v>
      </c>
      <c r="U142" s="552">
        <f t="shared" si="64"/>
        <v>-2.5465851649641991E-11</v>
      </c>
      <c r="V142" s="552">
        <f t="shared" si="64"/>
        <v>-2.5465851649641991E-11</v>
      </c>
      <c r="W142" s="552">
        <f t="shared" si="64"/>
        <v>-2.5465851649641991E-11</v>
      </c>
      <c r="X142" s="552">
        <f t="shared" si="64"/>
        <v>-2.5465851649641991E-11</v>
      </c>
      <c r="Y142" s="552">
        <f t="shared" si="64"/>
        <v>-2.5465851649641991E-11</v>
      </c>
      <c r="Z142" s="552">
        <f t="shared" si="64"/>
        <v>-2.5465851649641991E-11</v>
      </c>
      <c r="AA142" s="552">
        <f t="shared" si="64"/>
        <v>-2.5465851649641991E-11</v>
      </c>
      <c r="AB142" s="552">
        <f t="shared" si="64"/>
        <v>-2.5465851649641991E-11</v>
      </c>
      <c r="AC142" s="552">
        <f t="shared" si="64"/>
        <v>-2.5465851649641991E-11</v>
      </c>
      <c r="AD142" s="552">
        <f t="shared" si="64"/>
        <v>-2.5465851649641991E-11</v>
      </c>
      <c r="AE142" s="552">
        <f t="shared" si="64"/>
        <v>-2.5465851649641991E-11</v>
      </c>
      <c r="AF142" s="552">
        <f t="shared" si="64"/>
        <v>-2.5465851649641991E-11</v>
      </c>
      <c r="AG142" s="552">
        <f t="shared" si="64"/>
        <v>-2.5465851649641991E-11</v>
      </c>
      <c r="AH142" s="552">
        <f t="shared" si="64"/>
        <v>-2.5465851649641991E-11</v>
      </c>
      <c r="AI142" s="552">
        <f t="shared" si="64"/>
        <v>-2.5465851649641991E-11</v>
      </c>
      <c r="AJ142" s="552">
        <f t="shared" si="64"/>
        <v>-2.5465851649641991E-11</v>
      </c>
      <c r="AK142" s="552">
        <f t="shared" si="64"/>
        <v>-2.5465851649641991E-11</v>
      </c>
      <c r="AL142" s="552">
        <f t="shared" si="64"/>
        <v>-2.5465851649641991E-11</v>
      </c>
      <c r="AM142" s="552">
        <f t="shared" si="64"/>
        <v>-2.5465851649641991E-11</v>
      </c>
      <c r="AN142" s="552">
        <f t="shared" si="64"/>
        <v>-2.5465851649641991E-11</v>
      </c>
      <c r="AO142" s="552">
        <f t="shared" si="64"/>
        <v>-2.5465851649641991E-11</v>
      </c>
      <c r="AP142" s="552">
        <f t="shared" si="64"/>
        <v>-2.5465851649641991E-11</v>
      </c>
      <c r="AQ142" s="553">
        <f>IF(AR132=1, IF($H$25&gt;=AR132,$H$31,0), AQ138-AQ141)</f>
        <v>-2.5465851649641991E-11</v>
      </c>
    </row>
    <row r="143" spans="1:44" x14ac:dyDescent="0.3">
      <c r="B143" s="1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8"/>
      <c r="P143" s="538"/>
      <c r="Q143" s="538"/>
      <c r="R143" s="538"/>
      <c r="S143" s="538"/>
      <c r="T143" s="538"/>
      <c r="U143" s="538"/>
      <c r="V143" s="538"/>
      <c r="W143" s="538"/>
      <c r="X143" s="538"/>
      <c r="Y143" s="538"/>
      <c r="Z143" s="538"/>
      <c r="AA143" s="538"/>
      <c r="AB143" s="538"/>
      <c r="AC143" s="538"/>
      <c r="AD143" s="538"/>
      <c r="AE143" s="538"/>
      <c r="AF143" s="538"/>
      <c r="AG143" s="538"/>
      <c r="AH143" s="538"/>
      <c r="AI143" s="538"/>
      <c r="AJ143" s="538"/>
      <c r="AK143" s="538"/>
      <c r="AL143" s="538"/>
      <c r="AM143" s="538"/>
      <c r="AN143" s="538"/>
      <c r="AO143" s="538"/>
      <c r="AP143" s="538"/>
      <c r="AQ143" s="538"/>
    </row>
    <row r="144" spans="1:44" x14ac:dyDescent="0.3">
      <c r="B144" s="493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</row>
    <row r="145" spans="2:44" x14ac:dyDescent="0.3">
      <c r="B145" s="370" t="s">
        <v>294</v>
      </c>
      <c r="C145" s="554">
        <f t="shared" ref="C145:AQ145" si="65">C136</f>
        <v>0</v>
      </c>
      <c r="D145" s="554">
        <f t="shared" si="65"/>
        <v>1</v>
      </c>
      <c r="E145" s="554">
        <f t="shared" si="65"/>
        <v>2</v>
      </c>
      <c r="F145" s="554">
        <f t="shared" si="65"/>
        <v>3</v>
      </c>
      <c r="G145" s="554">
        <f t="shared" si="65"/>
        <v>4</v>
      </c>
      <c r="H145" s="554">
        <f t="shared" si="65"/>
        <v>5</v>
      </c>
      <c r="I145" s="554">
        <f t="shared" si="65"/>
        <v>6</v>
      </c>
      <c r="J145" s="554">
        <f t="shared" si="65"/>
        <v>7</v>
      </c>
      <c r="K145" s="554">
        <f t="shared" si="65"/>
        <v>8</v>
      </c>
      <c r="L145" s="554">
        <f t="shared" si="65"/>
        <v>9</v>
      </c>
      <c r="M145" s="554">
        <f t="shared" si="65"/>
        <v>10</v>
      </c>
      <c r="N145" s="554">
        <f t="shared" si="65"/>
        <v>11</v>
      </c>
      <c r="O145" s="554">
        <f t="shared" si="65"/>
        <v>12</v>
      </c>
      <c r="P145" s="554">
        <f t="shared" si="65"/>
        <v>13</v>
      </c>
      <c r="Q145" s="554">
        <f t="shared" si="65"/>
        <v>14</v>
      </c>
      <c r="R145" s="554">
        <f t="shared" si="65"/>
        <v>15</v>
      </c>
      <c r="S145" s="554">
        <f t="shared" si="65"/>
        <v>16</v>
      </c>
      <c r="T145" s="554">
        <f t="shared" si="65"/>
        <v>17</v>
      </c>
      <c r="U145" s="554">
        <f t="shared" si="65"/>
        <v>18</v>
      </c>
      <c r="V145" s="554">
        <f t="shared" si="65"/>
        <v>19</v>
      </c>
      <c r="W145" s="554">
        <f t="shared" si="65"/>
        <v>20</v>
      </c>
      <c r="X145" s="554">
        <f t="shared" si="65"/>
        <v>21</v>
      </c>
      <c r="Y145" s="554">
        <f t="shared" si="65"/>
        <v>22</v>
      </c>
      <c r="Z145" s="554">
        <f t="shared" si="65"/>
        <v>23</v>
      </c>
      <c r="AA145" s="554">
        <f t="shared" si="65"/>
        <v>24</v>
      </c>
      <c r="AB145" s="554">
        <f t="shared" si="65"/>
        <v>25</v>
      </c>
      <c r="AC145" s="554">
        <f t="shared" si="65"/>
        <v>26</v>
      </c>
      <c r="AD145" s="554">
        <f t="shared" si="65"/>
        <v>27</v>
      </c>
      <c r="AE145" s="554">
        <f t="shared" si="65"/>
        <v>28</v>
      </c>
      <c r="AF145" s="554">
        <f t="shared" si="65"/>
        <v>29</v>
      </c>
      <c r="AG145" s="554">
        <f t="shared" si="65"/>
        <v>30</v>
      </c>
      <c r="AH145" s="554">
        <f t="shared" si="65"/>
        <v>31</v>
      </c>
      <c r="AI145" s="554">
        <f t="shared" si="65"/>
        <v>32</v>
      </c>
      <c r="AJ145" s="554">
        <f t="shared" si="65"/>
        <v>33</v>
      </c>
      <c r="AK145" s="554">
        <f t="shared" si="65"/>
        <v>34</v>
      </c>
      <c r="AL145" s="554">
        <f t="shared" si="65"/>
        <v>35</v>
      </c>
      <c r="AM145" s="554">
        <f t="shared" si="65"/>
        <v>36</v>
      </c>
      <c r="AN145" s="554">
        <f t="shared" si="65"/>
        <v>37</v>
      </c>
      <c r="AO145" s="554">
        <f t="shared" si="65"/>
        <v>38</v>
      </c>
      <c r="AP145" s="554">
        <f t="shared" si="65"/>
        <v>39</v>
      </c>
      <c r="AQ145" s="555">
        <f t="shared" si="65"/>
        <v>40</v>
      </c>
    </row>
    <row r="146" spans="2:44" x14ac:dyDescent="0.3">
      <c r="B146" s="144" t="s">
        <v>295</v>
      </c>
      <c r="C146" s="505"/>
      <c r="D146" s="556">
        <f t="shared" ref="D146:AQ146" si="66">D91*D137</f>
        <v>125115.54623828946</v>
      </c>
      <c r="E146" s="504">
        <f t="shared" si="66"/>
        <v>127617.85716305522</v>
      </c>
      <c r="F146" s="504">
        <f t="shared" si="66"/>
        <v>121146.96165881632</v>
      </c>
      <c r="G146" s="504">
        <f t="shared" si="66"/>
        <v>123569.90089199267</v>
      </c>
      <c r="H146" s="504">
        <f t="shared" si="66"/>
        <v>126041.29890983252</v>
      </c>
      <c r="I146" s="504">
        <f t="shared" si="66"/>
        <v>128562.12488802917</v>
      </c>
      <c r="J146" s="504">
        <f t="shared" si="66"/>
        <v>131133.36738578972</v>
      </c>
      <c r="K146" s="504">
        <f t="shared" si="66"/>
        <v>133756.03473350554</v>
      </c>
      <c r="L146" s="504">
        <f t="shared" si="66"/>
        <v>136431.15542817564</v>
      </c>
      <c r="M146" s="504">
        <f t="shared" si="66"/>
        <v>139159.77853673918</v>
      </c>
      <c r="N146" s="504">
        <f t="shared" si="66"/>
        <v>141942.97410747394</v>
      </c>
      <c r="O146" s="504">
        <f t="shared" si="66"/>
        <v>144781.83358962345</v>
      </c>
      <c r="P146" s="504">
        <f t="shared" si="66"/>
        <v>147677.47026141587</v>
      </c>
      <c r="Q146" s="504">
        <f t="shared" si="66"/>
        <v>150631.01966664422</v>
      </c>
      <c r="R146" s="504">
        <f t="shared" si="66"/>
        <v>153643.64005997704</v>
      </c>
      <c r="S146" s="504">
        <f t="shared" si="66"/>
        <v>156716.51286117663</v>
      </c>
      <c r="T146" s="504">
        <f t="shared" si="66"/>
        <v>159850.8431184002</v>
      </c>
      <c r="U146" s="504">
        <f t="shared" si="66"/>
        <v>163047.85998076815</v>
      </c>
      <c r="V146" s="504">
        <f t="shared" si="66"/>
        <v>0</v>
      </c>
      <c r="W146" s="504">
        <f t="shared" si="66"/>
        <v>0</v>
      </c>
      <c r="X146" s="504">
        <f t="shared" si="66"/>
        <v>0</v>
      </c>
      <c r="Y146" s="504">
        <f t="shared" si="66"/>
        <v>0</v>
      </c>
      <c r="Z146" s="504">
        <f t="shared" si="66"/>
        <v>0</v>
      </c>
      <c r="AA146" s="504">
        <f t="shared" si="66"/>
        <v>0</v>
      </c>
      <c r="AB146" s="504">
        <f t="shared" si="66"/>
        <v>0</v>
      </c>
      <c r="AC146" s="504">
        <f t="shared" si="66"/>
        <v>0</v>
      </c>
      <c r="AD146" s="504">
        <f t="shared" si="66"/>
        <v>0</v>
      </c>
      <c r="AE146" s="504">
        <f t="shared" si="66"/>
        <v>0</v>
      </c>
      <c r="AF146" s="504">
        <f t="shared" si="66"/>
        <v>0</v>
      </c>
      <c r="AG146" s="504">
        <f t="shared" si="66"/>
        <v>0</v>
      </c>
      <c r="AH146" s="504">
        <f t="shared" si="66"/>
        <v>0</v>
      </c>
      <c r="AI146" s="504">
        <f t="shared" si="66"/>
        <v>0</v>
      </c>
      <c r="AJ146" s="504">
        <f t="shared" si="66"/>
        <v>0</v>
      </c>
      <c r="AK146" s="504">
        <f t="shared" si="66"/>
        <v>0</v>
      </c>
      <c r="AL146" s="504">
        <f t="shared" si="66"/>
        <v>0</v>
      </c>
      <c r="AM146" s="504">
        <f t="shared" si="66"/>
        <v>0</v>
      </c>
      <c r="AN146" s="504">
        <f t="shared" si="66"/>
        <v>0</v>
      </c>
      <c r="AO146" s="504">
        <f t="shared" si="66"/>
        <v>0</v>
      </c>
      <c r="AP146" s="504">
        <f t="shared" si="66"/>
        <v>0</v>
      </c>
      <c r="AQ146" s="507">
        <f t="shared" si="66"/>
        <v>0</v>
      </c>
    </row>
    <row r="147" spans="2:44" x14ac:dyDescent="0.3">
      <c r="B147" s="144" t="s">
        <v>296</v>
      </c>
      <c r="C147" s="505"/>
      <c r="D147" s="557">
        <f t="shared" ref="D147:AQ147" si="67">IF(D139=0, 0, D146/D139)</f>
        <v>6.7536639461438863</v>
      </c>
      <c r="E147" s="557">
        <f t="shared" si="67"/>
        <v>6.8887372250667624</v>
      </c>
      <c r="F147" s="557">
        <f t="shared" si="67"/>
        <v>6.5394420736631993</v>
      </c>
      <c r="G147" s="557">
        <f t="shared" si="67"/>
        <v>6.6702309151364645</v>
      </c>
      <c r="H147" s="557">
        <f t="shared" si="67"/>
        <v>6.8036355334391931</v>
      </c>
      <c r="I147" s="557">
        <f t="shared" si="67"/>
        <v>6.9397082441079769</v>
      </c>
      <c r="J147" s="557">
        <f t="shared" si="67"/>
        <v>7.0785024089901354</v>
      </c>
      <c r="K147" s="557">
        <f t="shared" si="67"/>
        <v>7.2200724571699393</v>
      </c>
      <c r="L147" s="557">
        <f t="shared" si="67"/>
        <v>7.3644739063133375</v>
      </c>
      <c r="M147" s="557">
        <f t="shared" si="67"/>
        <v>7.5117633844396057</v>
      </c>
      <c r="N147" s="557">
        <f t="shared" si="67"/>
        <v>7.6619986521283963</v>
      </c>
      <c r="O147" s="557">
        <f t="shared" si="67"/>
        <v>7.8152386251709665</v>
      </c>
      <c r="P147" s="557">
        <f t="shared" si="67"/>
        <v>7.9715433976743828</v>
      </c>
      <c r="Q147" s="557">
        <f t="shared" si="67"/>
        <v>8.1309742656278718</v>
      </c>
      <c r="R147" s="557">
        <f t="shared" si="67"/>
        <v>8.2935937509404258</v>
      </c>
      <c r="S147" s="557">
        <f t="shared" si="67"/>
        <v>8.459465625959238</v>
      </c>
      <c r="T147" s="557">
        <f t="shared" si="67"/>
        <v>8.628654938478423</v>
      </c>
      <c r="U147" s="557">
        <f t="shared" si="67"/>
        <v>8.8012280372479896</v>
      </c>
      <c r="V147" s="557">
        <f t="shared" si="67"/>
        <v>0</v>
      </c>
      <c r="W147" s="557">
        <f t="shared" si="67"/>
        <v>0</v>
      </c>
      <c r="X147" s="557">
        <f t="shared" si="67"/>
        <v>0</v>
      </c>
      <c r="Y147" s="557">
        <f t="shared" si="67"/>
        <v>0</v>
      </c>
      <c r="Z147" s="557">
        <f t="shared" si="67"/>
        <v>0</v>
      </c>
      <c r="AA147" s="557">
        <f t="shared" si="67"/>
        <v>0</v>
      </c>
      <c r="AB147" s="557">
        <f t="shared" si="67"/>
        <v>0</v>
      </c>
      <c r="AC147" s="557">
        <f t="shared" si="67"/>
        <v>0</v>
      </c>
      <c r="AD147" s="557">
        <f t="shared" si="67"/>
        <v>0</v>
      </c>
      <c r="AE147" s="557">
        <f t="shared" si="67"/>
        <v>0</v>
      </c>
      <c r="AF147" s="557">
        <f t="shared" si="67"/>
        <v>0</v>
      </c>
      <c r="AG147" s="557">
        <f t="shared" si="67"/>
        <v>0</v>
      </c>
      <c r="AH147" s="557">
        <f t="shared" si="67"/>
        <v>0</v>
      </c>
      <c r="AI147" s="557">
        <f t="shared" si="67"/>
        <v>0</v>
      </c>
      <c r="AJ147" s="557">
        <f t="shared" si="67"/>
        <v>0</v>
      </c>
      <c r="AK147" s="557">
        <f t="shared" si="67"/>
        <v>0</v>
      </c>
      <c r="AL147" s="557">
        <f t="shared" si="67"/>
        <v>0</v>
      </c>
      <c r="AM147" s="557">
        <f t="shared" si="67"/>
        <v>0</v>
      </c>
      <c r="AN147" s="557">
        <f t="shared" si="67"/>
        <v>0</v>
      </c>
      <c r="AO147" s="557">
        <f t="shared" si="67"/>
        <v>0</v>
      </c>
      <c r="AP147" s="557">
        <f t="shared" si="67"/>
        <v>0</v>
      </c>
      <c r="AQ147" s="558">
        <f t="shared" si="67"/>
        <v>0</v>
      </c>
    </row>
    <row r="148" spans="2:44" x14ac:dyDescent="0.3">
      <c r="B148" s="144" t="s">
        <v>297</v>
      </c>
      <c r="C148" s="559">
        <f>SUM(D147:AQ147)/H25</f>
        <v>7.5296070770943437</v>
      </c>
      <c r="D148" s="505"/>
      <c r="E148" s="505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  <c r="P148" s="505"/>
      <c r="Q148" s="505"/>
      <c r="R148" s="505"/>
      <c r="S148" s="505"/>
      <c r="T148" s="505"/>
      <c r="U148" s="505"/>
      <c r="V148" s="505"/>
      <c r="W148" s="505"/>
      <c r="X148" s="505"/>
      <c r="Y148" s="505"/>
      <c r="Z148" s="505"/>
      <c r="AA148" s="505"/>
      <c r="AB148" s="505"/>
      <c r="AC148" s="505"/>
      <c r="AD148" s="505"/>
      <c r="AE148" s="505"/>
      <c r="AF148" s="505"/>
      <c r="AG148" s="505"/>
      <c r="AH148" s="505"/>
      <c r="AI148" s="505"/>
      <c r="AJ148" s="505"/>
      <c r="AK148" s="505"/>
      <c r="AL148" s="505"/>
      <c r="AM148" s="505"/>
      <c r="AN148" s="505"/>
      <c r="AO148" s="505"/>
      <c r="AP148" s="505"/>
      <c r="AQ148" s="506"/>
    </row>
    <row r="149" spans="2:44" x14ac:dyDescent="0.3">
      <c r="B149" s="144" t="s">
        <v>118</v>
      </c>
      <c r="C149" s="560">
        <f>C148</f>
        <v>7.5296070770943437</v>
      </c>
      <c r="D149" s="505"/>
      <c r="E149" s="505"/>
      <c r="F149" s="505"/>
      <c r="G149" s="505"/>
      <c r="H149" s="505"/>
      <c r="I149" s="505"/>
      <c r="J149" s="505"/>
      <c r="K149" s="505"/>
      <c r="L149" s="505"/>
      <c r="M149" s="505"/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505"/>
      <c r="AE149" s="505"/>
      <c r="AF149" s="505"/>
      <c r="AG149" s="505"/>
      <c r="AH149" s="505"/>
      <c r="AI149" s="505"/>
      <c r="AJ149" s="505"/>
      <c r="AK149" s="505"/>
      <c r="AL149" s="505"/>
      <c r="AM149" s="505"/>
      <c r="AN149" s="505"/>
      <c r="AO149" s="505"/>
      <c r="AP149" s="505"/>
      <c r="AQ149" s="506"/>
    </row>
    <row r="150" spans="2:44" x14ac:dyDescent="0.3">
      <c r="B150" s="160" t="s">
        <v>223</v>
      </c>
      <c r="C150" s="561">
        <f>C163</f>
        <v>1.4</v>
      </c>
      <c r="D150" s="542"/>
      <c r="E150" s="542"/>
      <c r="F150" s="542"/>
      <c r="G150" s="542"/>
      <c r="H150" s="542"/>
      <c r="I150" s="542"/>
      <c r="J150" s="542"/>
      <c r="K150" s="542"/>
      <c r="L150" s="542"/>
      <c r="M150" s="542"/>
      <c r="N150" s="542"/>
      <c r="O150" s="542"/>
      <c r="P150" s="542"/>
      <c r="Q150" s="542"/>
      <c r="R150" s="542"/>
      <c r="S150" s="542"/>
      <c r="T150" s="542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2"/>
      <c r="AF150" s="542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62"/>
    </row>
    <row r="151" spans="2:44" x14ac:dyDescent="0.3">
      <c r="B151" s="1"/>
      <c r="C151" s="538"/>
      <c r="D151" s="461"/>
      <c r="E151" s="461"/>
      <c r="F151" s="461"/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</row>
    <row r="152" spans="2:44" x14ac:dyDescent="0.3">
      <c r="B152" s="547" t="s">
        <v>298</v>
      </c>
      <c r="C152" s="477">
        <f t="shared" ref="C152:AQ152" si="68">C136</f>
        <v>0</v>
      </c>
      <c r="D152" s="477">
        <f t="shared" si="68"/>
        <v>1</v>
      </c>
      <c r="E152" s="477">
        <f t="shared" si="68"/>
        <v>2</v>
      </c>
      <c r="F152" s="477">
        <f t="shared" si="68"/>
        <v>3</v>
      </c>
      <c r="G152" s="477">
        <f t="shared" si="68"/>
        <v>4</v>
      </c>
      <c r="H152" s="477">
        <f t="shared" si="68"/>
        <v>5</v>
      </c>
      <c r="I152" s="477">
        <f t="shared" si="68"/>
        <v>6</v>
      </c>
      <c r="J152" s="477">
        <f t="shared" si="68"/>
        <v>7</v>
      </c>
      <c r="K152" s="477">
        <f t="shared" si="68"/>
        <v>8</v>
      </c>
      <c r="L152" s="477">
        <f t="shared" si="68"/>
        <v>9</v>
      </c>
      <c r="M152" s="477">
        <f t="shared" si="68"/>
        <v>10</v>
      </c>
      <c r="N152" s="477">
        <f t="shared" si="68"/>
        <v>11</v>
      </c>
      <c r="O152" s="477">
        <f t="shared" si="68"/>
        <v>12</v>
      </c>
      <c r="P152" s="477">
        <f t="shared" si="68"/>
        <v>13</v>
      </c>
      <c r="Q152" s="477">
        <f t="shared" si="68"/>
        <v>14</v>
      </c>
      <c r="R152" s="477">
        <f t="shared" si="68"/>
        <v>15</v>
      </c>
      <c r="S152" s="477">
        <f t="shared" si="68"/>
        <v>16</v>
      </c>
      <c r="T152" s="477">
        <f t="shared" si="68"/>
        <v>17</v>
      </c>
      <c r="U152" s="477">
        <f t="shared" si="68"/>
        <v>18</v>
      </c>
      <c r="V152" s="477">
        <f t="shared" si="68"/>
        <v>19</v>
      </c>
      <c r="W152" s="477">
        <f t="shared" si="68"/>
        <v>20</v>
      </c>
      <c r="X152" s="477">
        <f t="shared" si="68"/>
        <v>21</v>
      </c>
      <c r="Y152" s="477">
        <f t="shared" si="68"/>
        <v>22</v>
      </c>
      <c r="Z152" s="477">
        <f t="shared" si="68"/>
        <v>23</v>
      </c>
      <c r="AA152" s="477">
        <f t="shared" si="68"/>
        <v>24</v>
      </c>
      <c r="AB152" s="477">
        <f t="shared" si="68"/>
        <v>25</v>
      </c>
      <c r="AC152" s="477">
        <f t="shared" si="68"/>
        <v>26</v>
      </c>
      <c r="AD152" s="477">
        <f t="shared" si="68"/>
        <v>27</v>
      </c>
      <c r="AE152" s="477">
        <f t="shared" si="68"/>
        <v>28</v>
      </c>
      <c r="AF152" s="477">
        <f t="shared" si="68"/>
        <v>29</v>
      </c>
      <c r="AG152" s="477">
        <f t="shared" si="68"/>
        <v>30</v>
      </c>
      <c r="AH152" s="477">
        <f t="shared" si="68"/>
        <v>31</v>
      </c>
      <c r="AI152" s="477">
        <f t="shared" si="68"/>
        <v>32</v>
      </c>
      <c r="AJ152" s="477">
        <f t="shared" si="68"/>
        <v>33</v>
      </c>
      <c r="AK152" s="477">
        <f t="shared" si="68"/>
        <v>34</v>
      </c>
      <c r="AL152" s="477">
        <f t="shared" si="68"/>
        <v>35</v>
      </c>
      <c r="AM152" s="477">
        <f t="shared" si="68"/>
        <v>36</v>
      </c>
      <c r="AN152" s="477">
        <f t="shared" si="68"/>
        <v>37</v>
      </c>
      <c r="AO152" s="477">
        <f t="shared" si="68"/>
        <v>38</v>
      </c>
      <c r="AP152" s="477">
        <f t="shared" si="68"/>
        <v>39</v>
      </c>
      <c r="AQ152" s="478">
        <f t="shared" si="68"/>
        <v>40</v>
      </c>
      <c r="AR152" s="563"/>
    </row>
    <row r="153" spans="2:44" x14ac:dyDescent="0.3">
      <c r="B153" s="144" t="s">
        <v>290</v>
      </c>
      <c r="C153" s="504"/>
      <c r="D153" s="504">
        <f t="shared" ref="D153:AQ153" si="69">+C156</f>
        <v>0</v>
      </c>
      <c r="E153" s="504">
        <f t="shared" si="69"/>
        <v>0</v>
      </c>
      <c r="F153" s="504">
        <f t="shared" si="69"/>
        <v>0</v>
      </c>
      <c r="G153" s="504">
        <f t="shared" si="69"/>
        <v>0</v>
      </c>
      <c r="H153" s="504">
        <f t="shared" si="69"/>
        <v>0</v>
      </c>
      <c r="I153" s="504">
        <f t="shared" si="69"/>
        <v>0</v>
      </c>
      <c r="J153" s="504">
        <f t="shared" si="69"/>
        <v>0</v>
      </c>
      <c r="K153" s="504">
        <f t="shared" si="69"/>
        <v>0</v>
      </c>
      <c r="L153" s="504">
        <f t="shared" si="69"/>
        <v>0</v>
      </c>
      <c r="M153" s="504">
        <f t="shared" si="69"/>
        <v>0</v>
      </c>
      <c r="N153" s="504">
        <f t="shared" si="69"/>
        <v>0</v>
      </c>
      <c r="O153" s="504">
        <f t="shared" si="69"/>
        <v>0</v>
      </c>
      <c r="P153" s="504">
        <f t="shared" si="69"/>
        <v>0</v>
      </c>
      <c r="Q153" s="504">
        <f t="shared" si="69"/>
        <v>0</v>
      </c>
      <c r="R153" s="504">
        <f t="shared" si="69"/>
        <v>0</v>
      </c>
      <c r="S153" s="504">
        <f t="shared" si="69"/>
        <v>0</v>
      </c>
      <c r="T153" s="504">
        <f t="shared" si="69"/>
        <v>0</v>
      </c>
      <c r="U153" s="504">
        <f t="shared" si="69"/>
        <v>0</v>
      </c>
      <c r="V153" s="504">
        <f t="shared" si="69"/>
        <v>0</v>
      </c>
      <c r="W153" s="504">
        <f t="shared" si="69"/>
        <v>0</v>
      </c>
      <c r="X153" s="504">
        <f t="shared" si="69"/>
        <v>0</v>
      </c>
      <c r="Y153" s="504">
        <f t="shared" si="69"/>
        <v>0</v>
      </c>
      <c r="Z153" s="504">
        <f t="shared" si="69"/>
        <v>0</v>
      </c>
      <c r="AA153" s="504">
        <f t="shared" si="69"/>
        <v>0</v>
      </c>
      <c r="AB153" s="504">
        <f t="shared" si="69"/>
        <v>0</v>
      </c>
      <c r="AC153" s="504">
        <f t="shared" si="69"/>
        <v>0</v>
      </c>
      <c r="AD153" s="504">
        <f t="shared" si="69"/>
        <v>0</v>
      </c>
      <c r="AE153" s="504">
        <f t="shared" si="69"/>
        <v>0</v>
      </c>
      <c r="AF153" s="504">
        <f t="shared" si="69"/>
        <v>0</v>
      </c>
      <c r="AG153" s="504">
        <f t="shared" si="69"/>
        <v>0</v>
      </c>
      <c r="AH153" s="504">
        <f t="shared" si="69"/>
        <v>0</v>
      </c>
      <c r="AI153" s="504">
        <f t="shared" si="69"/>
        <v>0</v>
      </c>
      <c r="AJ153" s="504">
        <f t="shared" si="69"/>
        <v>0</v>
      </c>
      <c r="AK153" s="504">
        <f t="shared" si="69"/>
        <v>0</v>
      </c>
      <c r="AL153" s="504">
        <f t="shared" si="69"/>
        <v>0</v>
      </c>
      <c r="AM153" s="504">
        <f t="shared" si="69"/>
        <v>0</v>
      </c>
      <c r="AN153" s="504">
        <f t="shared" si="69"/>
        <v>0</v>
      </c>
      <c r="AO153" s="504">
        <f t="shared" si="69"/>
        <v>0</v>
      </c>
      <c r="AP153" s="504">
        <f t="shared" si="69"/>
        <v>0</v>
      </c>
      <c r="AQ153" s="507">
        <f t="shared" si="69"/>
        <v>0</v>
      </c>
      <c r="AR153" s="563"/>
    </row>
    <row r="154" spans="2:44" x14ac:dyDescent="0.3">
      <c r="B154" s="144" t="s">
        <v>299</v>
      </c>
      <c r="C154" s="504">
        <f>C14</f>
        <v>0</v>
      </c>
      <c r="D154" s="504">
        <f t="shared" ref="D154:AQ154" si="70">+-(MIN(0,D95))</f>
        <v>0</v>
      </c>
      <c r="E154" s="504">
        <f t="shared" si="70"/>
        <v>0</v>
      </c>
      <c r="F154" s="504">
        <f t="shared" si="70"/>
        <v>0</v>
      </c>
      <c r="G154" s="504">
        <f t="shared" si="70"/>
        <v>0</v>
      </c>
      <c r="H154" s="504">
        <f t="shared" si="70"/>
        <v>0</v>
      </c>
      <c r="I154" s="504">
        <f t="shared" si="70"/>
        <v>0</v>
      </c>
      <c r="J154" s="504">
        <f t="shared" si="70"/>
        <v>0</v>
      </c>
      <c r="K154" s="504">
        <f t="shared" si="70"/>
        <v>0</v>
      </c>
      <c r="L154" s="504">
        <f t="shared" si="70"/>
        <v>0</v>
      </c>
      <c r="M154" s="504">
        <f t="shared" si="70"/>
        <v>0</v>
      </c>
      <c r="N154" s="504">
        <f t="shared" si="70"/>
        <v>0</v>
      </c>
      <c r="O154" s="504">
        <f t="shared" si="70"/>
        <v>0</v>
      </c>
      <c r="P154" s="504">
        <f t="shared" si="70"/>
        <v>0</v>
      </c>
      <c r="Q154" s="504">
        <f t="shared" si="70"/>
        <v>0</v>
      </c>
      <c r="R154" s="504">
        <f t="shared" si="70"/>
        <v>0</v>
      </c>
      <c r="S154" s="504">
        <f t="shared" si="70"/>
        <v>0</v>
      </c>
      <c r="T154" s="504">
        <f t="shared" si="70"/>
        <v>0</v>
      </c>
      <c r="U154" s="504">
        <f t="shared" si="70"/>
        <v>0</v>
      </c>
      <c r="V154" s="504">
        <f t="shared" si="70"/>
        <v>0</v>
      </c>
      <c r="W154" s="504">
        <f t="shared" si="70"/>
        <v>0</v>
      </c>
      <c r="X154" s="504">
        <f t="shared" si="70"/>
        <v>0</v>
      </c>
      <c r="Y154" s="504">
        <f t="shared" si="70"/>
        <v>0</v>
      </c>
      <c r="Z154" s="504">
        <f t="shared" si="70"/>
        <v>0</v>
      </c>
      <c r="AA154" s="504">
        <f t="shared" si="70"/>
        <v>0</v>
      </c>
      <c r="AB154" s="504">
        <f t="shared" si="70"/>
        <v>0</v>
      </c>
      <c r="AC154" s="504">
        <f t="shared" si="70"/>
        <v>0</v>
      </c>
      <c r="AD154" s="504">
        <f t="shared" si="70"/>
        <v>0</v>
      </c>
      <c r="AE154" s="504">
        <f t="shared" si="70"/>
        <v>0</v>
      </c>
      <c r="AF154" s="504">
        <f t="shared" si="70"/>
        <v>0</v>
      </c>
      <c r="AG154" s="504">
        <f t="shared" si="70"/>
        <v>0</v>
      </c>
      <c r="AH154" s="504">
        <f t="shared" si="70"/>
        <v>0</v>
      </c>
      <c r="AI154" s="504">
        <f t="shared" si="70"/>
        <v>0</v>
      </c>
      <c r="AJ154" s="504">
        <f t="shared" si="70"/>
        <v>0</v>
      </c>
      <c r="AK154" s="504">
        <f t="shared" si="70"/>
        <v>0</v>
      </c>
      <c r="AL154" s="504">
        <f t="shared" si="70"/>
        <v>0</v>
      </c>
      <c r="AM154" s="504">
        <f t="shared" si="70"/>
        <v>0</v>
      </c>
      <c r="AN154" s="504">
        <f t="shared" si="70"/>
        <v>0</v>
      </c>
      <c r="AO154" s="504">
        <f t="shared" si="70"/>
        <v>0</v>
      </c>
      <c r="AP154" s="504">
        <f t="shared" si="70"/>
        <v>0</v>
      </c>
      <c r="AQ154" s="507">
        <f t="shared" si="70"/>
        <v>0</v>
      </c>
    </row>
    <row r="155" spans="2:44" x14ac:dyDescent="0.3">
      <c r="B155" s="144" t="s">
        <v>300</v>
      </c>
      <c r="C155" s="504">
        <f t="shared" ref="C155:AQ155" si="71">+-(MAX(0,C95))</f>
        <v>0</v>
      </c>
      <c r="D155" s="504">
        <f t="shared" si="71"/>
        <v>0</v>
      </c>
      <c r="E155" s="504">
        <f t="shared" si="71"/>
        <v>0</v>
      </c>
      <c r="F155" s="504">
        <f t="shared" si="71"/>
        <v>0</v>
      </c>
      <c r="G155" s="504">
        <f t="shared" si="71"/>
        <v>0</v>
      </c>
      <c r="H155" s="504">
        <f t="shared" si="71"/>
        <v>0</v>
      </c>
      <c r="I155" s="504">
        <f t="shared" si="71"/>
        <v>0</v>
      </c>
      <c r="J155" s="504">
        <f t="shared" si="71"/>
        <v>0</v>
      </c>
      <c r="K155" s="504">
        <f t="shared" si="71"/>
        <v>0</v>
      </c>
      <c r="L155" s="504">
        <f t="shared" si="71"/>
        <v>0</v>
      </c>
      <c r="M155" s="504">
        <f t="shared" si="71"/>
        <v>0</v>
      </c>
      <c r="N155" s="504">
        <f t="shared" si="71"/>
        <v>0</v>
      </c>
      <c r="O155" s="504">
        <f t="shared" si="71"/>
        <v>0</v>
      </c>
      <c r="P155" s="504">
        <f t="shared" si="71"/>
        <v>0</v>
      </c>
      <c r="Q155" s="504">
        <f t="shared" si="71"/>
        <v>0</v>
      </c>
      <c r="R155" s="504">
        <f t="shared" si="71"/>
        <v>0</v>
      </c>
      <c r="S155" s="504">
        <f t="shared" si="71"/>
        <v>0</v>
      </c>
      <c r="T155" s="504">
        <f t="shared" si="71"/>
        <v>0</v>
      </c>
      <c r="U155" s="504">
        <f t="shared" si="71"/>
        <v>0</v>
      </c>
      <c r="V155" s="504">
        <f t="shared" si="71"/>
        <v>0</v>
      </c>
      <c r="W155" s="504">
        <f t="shared" si="71"/>
        <v>0</v>
      </c>
      <c r="X155" s="504">
        <f t="shared" si="71"/>
        <v>0</v>
      </c>
      <c r="Y155" s="504">
        <f t="shared" si="71"/>
        <v>0</v>
      </c>
      <c r="Z155" s="504">
        <f t="shared" si="71"/>
        <v>0</v>
      </c>
      <c r="AA155" s="504">
        <f t="shared" si="71"/>
        <v>0</v>
      </c>
      <c r="AB155" s="504">
        <f t="shared" si="71"/>
        <v>0</v>
      </c>
      <c r="AC155" s="504">
        <f t="shared" si="71"/>
        <v>0</v>
      </c>
      <c r="AD155" s="504">
        <f t="shared" si="71"/>
        <v>0</v>
      </c>
      <c r="AE155" s="504">
        <f t="shared" si="71"/>
        <v>0</v>
      </c>
      <c r="AF155" s="504">
        <f t="shared" si="71"/>
        <v>0</v>
      </c>
      <c r="AG155" s="504">
        <f t="shared" si="71"/>
        <v>0</v>
      </c>
      <c r="AH155" s="504">
        <f t="shared" si="71"/>
        <v>0</v>
      </c>
      <c r="AI155" s="504">
        <f t="shared" si="71"/>
        <v>0</v>
      </c>
      <c r="AJ155" s="504">
        <f t="shared" si="71"/>
        <v>0</v>
      </c>
      <c r="AK155" s="504">
        <f t="shared" si="71"/>
        <v>0</v>
      </c>
      <c r="AL155" s="504">
        <f t="shared" si="71"/>
        <v>0</v>
      </c>
      <c r="AM155" s="504">
        <f t="shared" si="71"/>
        <v>0</v>
      </c>
      <c r="AN155" s="504">
        <f t="shared" si="71"/>
        <v>0</v>
      </c>
      <c r="AO155" s="504">
        <f t="shared" si="71"/>
        <v>0</v>
      </c>
      <c r="AP155" s="504">
        <f t="shared" si="71"/>
        <v>0</v>
      </c>
      <c r="AQ155" s="507">
        <f t="shared" si="71"/>
        <v>0</v>
      </c>
    </row>
    <row r="156" spans="2:44" x14ac:dyDescent="0.3">
      <c r="B156" s="144" t="s">
        <v>293</v>
      </c>
      <c r="C156" s="504">
        <f t="shared" ref="C156:AQ156" si="72">SUM(C153:C155)</f>
        <v>0</v>
      </c>
      <c r="D156" s="504">
        <f t="shared" si="72"/>
        <v>0</v>
      </c>
      <c r="E156" s="504">
        <f t="shared" si="72"/>
        <v>0</v>
      </c>
      <c r="F156" s="504">
        <f t="shared" si="72"/>
        <v>0</v>
      </c>
      <c r="G156" s="504">
        <f t="shared" si="72"/>
        <v>0</v>
      </c>
      <c r="H156" s="504">
        <f t="shared" si="72"/>
        <v>0</v>
      </c>
      <c r="I156" s="504">
        <f t="shared" si="72"/>
        <v>0</v>
      </c>
      <c r="J156" s="504">
        <f t="shared" si="72"/>
        <v>0</v>
      </c>
      <c r="K156" s="504">
        <f t="shared" si="72"/>
        <v>0</v>
      </c>
      <c r="L156" s="504">
        <f t="shared" si="72"/>
        <v>0</v>
      </c>
      <c r="M156" s="504">
        <f t="shared" si="72"/>
        <v>0</v>
      </c>
      <c r="N156" s="504">
        <f t="shared" si="72"/>
        <v>0</v>
      </c>
      <c r="O156" s="504">
        <f t="shared" si="72"/>
        <v>0</v>
      </c>
      <c r="P156" s="504">
        <f t="shared" si="72"/>
        <v>0</v>
      </c>
      <c r="Q156" s="504">
        <f t="shared" si="72"/>
        <v>0</v>
      </c>
      <c r="R156" s="504">
        <f t="shared" si="72"/>
        <v>0</v>
      </c>
      <c r="S156" s="504">
        <f t="shared" si="72"/>
        <v>0</v>
      </c>
      <c r="T156" s="504">
        <f t="shared" si="72"/>
        <v>0</v>
      </c>
      <c r="U156" s="504">
        <f t="shared" si="72"/>
        <v>0</v>
      </c>
      <c r="V156" s="504">
        <f t="shared" si="72"/>
        <v>0</v>
      </c>
      <c r="W156" s="504">
        <f t="shared" si="72"/>
        <v>0</v>
      </c>
      <c r="X156" s="504">
        <f t="shared" si="72"/>
        <v>0</v>
      </c>
      <c r="Y156" s="504">
        <f t="shared" si="72"/>
        <v>0</v>
      </c>
      <c r="Z156" s="504">
        <f t="shared" si="72"/>
        <v>0</v>
      </c>
      <c r="AA156" s="504">
        <f t="shared" si="72"/>
        <v>0</v>
      </c>
      <c r="AB156" s="504">
        <f t="shared" si="72"/>
        <v>0</v>
      </c>
      <c r="AC156" s="504">
        <f t="shared" si="72"/>
        <v>0</v>
      </c>
      <c r="AD156" s="504">
        <f t="shared" si="72"/>
        <v>0</v>
      </c>
      <c r="AE156" s="504">
        <f t="shared" si="72"/>
        <v>0</v>
      </c>
      <c r="AF156" s="504">
        <f t="shared" si="72"/>
        <v>0</v>
      </c>
      <c r="AG156" s="504">
        <f t="shared" si="72"/>
        <v>0</v>
      </c>
      <c r="AH156" s="504">
        <f t="shared" si="72"/>
        <v>0</v>
      </c>
      <c r="AI156" s="504">
        <f t="shared" si="72"/>
        <v>0</v>
      </c>
      <c r="AJ156" s="504">
        <f t="shared" si="72"/>
        <v>0</v>
      </c>
      <c r="AK156" s="504">
        <f t="shared" si="72"/>
        <v>0</v>
      </c>
      <c r="AL156" s="504">
        <f t="shared" si="72"/>
        <v>0</v>
      </c>
      <c r="AM156" s="504">
        <f t="shared" si="72"/>
        <v>0</v>
      </c>
      <c r="AN156" s="504">
        <f t="shared" si="72"/>
        <v>0</v>
      </c>
      <c r="AO156" s="504">
        <f t="shared" si="72"/>
        <v>0</v>
      </c>
      <c r="AP156" s="504">
        <f t="shared" si="72"/>
        <v>0</v>
      </c>
      <c r="AQ156" s="507">
        <f t="shared" si="72"/>
        <v>0</v>
      </c>
    </row>
    <row r="157" spans="2:44" x14ac:dyDescent="0.3">
      <c r="B157" s="144" t="s">
        <v>301</v>
      </c>
      <c r="C157" s="528">
        <f>+H27</f>
        <v>2.3635132278911675E-2</v>
      </c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505"/>
      <c r="U157" s="505"/>
      <c r="V157" s="505"/>
      <c r="W157" s="505"/>
      <c r="X157" s="505"/>
      <c r="Y157" s="505"/>
      <c r="Z157" s="505"/>
      <c r="AA157" s="505"/>
      <c r="AB157" s="505"/>
      <c r="AC157" s="505"/>
      <c r="AD157" s="505"/>
      <c r="AE157" s="505"/>
      <c r="AF157" s="505"/>
      <c r="AG157" s="505"/>
      <c r="AH157" s="505"/>
      <c r="AI157" s="505"/>
      <c r="AJ157" s="505"/>
      <c r="AK157" s="505"/>
      <c r="AL157" s="505"/>
      <c r="AM157" s="505"/>
      <c r="AN157" s="505"/>
      <c r="AO157" s="505"/>
      <c r="AP157" s="505"/>
      <c r="AQ157" s="506"/>
    </row>
    <row r="158" spans="2:44" x14ac:dyDescent="0.3">
      <c r="B158" s="160" t="s">
        <v>302</v>
      </c>
      <c r="C158" s="552">
        <f t="shared" ref="C158:AQ158" si="73">+C153*$C$157</f>
        <v>0</v>
      </c>
      <c r="D158" s="552">
        <f t="shared" si="73"/>
        <v>0</v>
      </c>
      <c r="E158" s="552">
        <f t="shared" si="73"/>
        <v>0</v>
      </c>
      <c r="F158" s="552">
        <f t="shared" si="73"/>
        <v>0</v>
      </c>
      <c r="G158" s="552">
        <f t="shared" si="73"/>
        <v>0</v>
      </c>
      <c r="H158" s="552">
        <f t="shared" si="73"/>
        <v>0</v>
      </c>
      <c r="I158" s="552">
        <f t="shared" si="73"/>
        <v>0</v>
      </c>
      <c r="J158" s="552">
        <f t="shared" si="73"/>
        <v>0</v>
      </c>
      <c r="K158" s="552">
        <f t="shared" si="73"/>
        <v>0</v>
      </c>
      <c r="L158" s="552">
        <f t="shared" si="73"/>
        <v>0</v>
      </c>
      <c r="M158" s="552">
        <f t="shared" si="73"/>
        <v>0</v>
      </c>
      <c r="N158" s="552">
        <f t="shared" si="73"/>
        <v>0</v>
      </c>
      <c r="O158" s="552">
        <f t="shared" si="73"/>
        <v>0</v>
      </c>
      <c r="P158" s="552">
        <f t="shared" si="73"/>
        <v>0</v>
      </c>
      <c r="Q158" s="552">
        <f t="shared" si="73"/>
        <v>0</v>
      </c>
      <c r="R158" s="552">
        <f t="shared" si="73"/>
        <v>0</v>
      </c>
      <c r="S158" s="552">
        <f t="shared" si="73"/>
        <v>0</v>
      </c>
      <c r="T158" s="552">
        <f t="shared" si="73"/>
        <v>0</v>
      </c>
      <c r="U158" s="552">
        <f t="shared" si="73"/>
        <v>0</v>
      </c>
      <c r="V158" s="552">
        <f t="shared" si="73"/>
        <v>0</v>
      </c>
      <c r="W158" s="552">
        <f t="shared" si="73"/>
        <v>0</v>
      </c>
      <c r="X158" s="552">
        <f t="shared" si="73"/>
        <v>0</v>
      </c>
      <c r="Y158" s="552">
        <f t="shared" si="73"/>
        <v>0</v>
      </c>
      <c r="Z158" s="552">
        <f t="shared" si="73"/>
        <v>0</v>
      </c>
      <c r="AA158" s="552">
        <f t="shared" si="73"/>
        <v>0</v>
      </c>
      <c r="AB158" s="552">
        <f t="shared" si="73"/>
        <v>0</v>
      </c>
      <c r="AC158" s="552">
        <f t="shared" si="73"/>
        <v>0</v>
      </c>
      <c r="AD158" s="552">
        <f t="shared" si="73"/>
        <v>0</v>
      </c>
      <c r="AE158" s="552">
        <f t="shared" si="73"/>
        <v>0</v>
      </c>
      <c r="AF158" s="552">
        <f t="shared" si="73"/>
        <v>0</v>
      </c>
      <c r="AG158" s="552">
        <f t="shared" si="73"/>
        <v>0</v>
      </c>
      <c r="AH158" s="552">
        <f t="shared" si="73"/>
        <v>0</v>
      </c>
      <c r="AI158" s="552">
        <f t="shared" si="73"/>
        <v>0</v>
      </c>
      <c r="AJ158" s="552">
        <f t="shared" si="73"/>
        <v>0</v>
      </c>
      <c r="AK158" s="552">
        <f t="shared" si="73"/>
        <v>0</v>
      </c>
      <c r="AL158" s="552">
        <f t="shared" si="73"/>
        <v>0</v>
      </c>
      <c r="AM158" s="552">
        <f t="shared" si="73"/>
        <v>0</v>
      </c>
      <c r="AN158" s="552">
        <f t="shared" si="73"/>
        <v>0</v>
      </c>
      <c r="AO158" s="552">
        <f t="shared" si="73"/>
        <v>0</v>
      </c>
      <c r="AP158" s="552">
        <f t="shared" si="73"/>
        <v>0</v>
      </c>
      <c r="AQ158" s="553">
        <f t="shared" si="73"/>
        <v>0</v>
      </c>
    </row>
    <row r="159" spans="2:44" x14ac:dyDescent="0.3">
      <c r="B159" s="1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8"/>
      <c r="P159" s="538"/>
      <c r="Q159" s="538"/>
      <c r="R159" s="538"/>
      <c r="S159" s="538"/>
      <c r="T159" s="538"/>
      <c r="U159" s="538"/>
      <c r="V159" s="538"/>
      <c r="W159" s="538"/>
      <c r="X159" s="538"/>
      <c r="Y159" s="538"/>
      <c r="Z159" s="538"/>
      <c r="AA159" s="538"/>
      <c r="AB159" s="538"/>
      <c r="AC159" s="538"/>
      <c r="AD159" s="538"/>
      <c r="AE159" s="538"/>
      <c r="AF159" s="538"/>
      <c r="AG159" s="538"/>
      <c r="AH159" s="538"/>
      <c r="AI159" s="538"/>
      <c r="AJ159" s="538"/>
      <c r="AK159" s="538"/>
      <c r="AL159" s="538"/>
      <c r="AM159" s="538"/>
      <c r="AN159" s="538"/>
      <c r="AO159" s="538"/>
      <c r="AP159" s="538"/>
      <c r="AQ159" s="538"/>
      <c r="AR159" s="563"/>
    </row>
    <row r="160" spans="2:44" x14ac:dyDescent="0.3">
      <c r="B160" s="493"/>
      <c r="C160" s="461"/>
      <c r="D160" s="398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</row>
    <row r="161" spans="2:43" x14ac:dyDescent="0.3">
      <c r="B161" s="564" t="s">
        <v>303</v>
      </c>
      <c r="C161" s="565"/>
      <c r="D161" s="566"/>
      <c r="E161" s="566"/>
      <c r="F161" s="566"/>
      <c r="G161" s="566"/>
      <c r="H161" s="566"/>
      <c r="I161" s="566"/>
      <c r="J161" s="566"/>
      <c r="K161" s="566"/>
      <c r="L161" s="566"/>
      <c r="M161" s="566"/>
      <c r="N161" s="566"/>
      <c r="O161" s="566"/>
      <c r="P161" s="566"/>
      <c r="Q161" s="566"/>
      <c r="R161" s="566"/>
      <c r="S161" s="566"/>
      <c r="T161" s="566"/>
      <c r="U161" s="566"/>
      <c r="V161" s="566"/>
      <c r="W161" s="566"/>
      <c r="X161" s="566"/>
      <c r="Y161" s="566"/>
      <c r="Z161" s="566"/>
      <c r="AA161" s="566"/>
      <c r="AB161" s="566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  <c r="AP161" s="566"/>
      <c r="AQ161" s="566"/>
    </row>
    <row r="162" spans="2:43" x14ac:dyDescent="0.3">
      <c r="B162" s="567" t="s">
        <v>304</v>
      </c>
      <c r="C162" s="568">
        <f>SUM(D139:AQ139)</f>
        <v>333460.45202250133</v>
      </c>
      <c r="D162" s="566"/>
      <c r="E162" s="566"/>
      <c r="F162" s="566"/>
      <c r="G162" s="566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  <c r="AP162" s="566"/>
      <c r="AQ162" s="566"/>
    </row>
    <row r="163" spans="2:43" x14ac:dyDescent="0.3">
      <c r="B163" s="548" t="s">
        <v>223</v>
      </c>
      <c r="C163" s="569">
        <v>1.4</v>
      </c>
      <c r="D163" s="566"/>
      <c r="E163" s="566"/>
      <c r="F163" s="566"/>
      <c r="G163" s="566"/>
      <c r="H163" s="566"/>
      <c r="I163" s="566"/>
      <c r="J163" s="566"/>
      <c r="K163" s="566"/>
      <c r="L163" s="566"/>
      <c r="M163" s="566"/>
      <c r="N163" s="566"/>
      <c r="O163" s="566"/>
      <c r="P163" s="566"/>
      <c r="Q163" s="566"/>
      <c r="R163" s="566"/>
      <c r="S163" s="566"/>
      <c r="T163" s="566"/>
      <c r="U163" s="566"/>
      <c r="V163" s="566"/>
      <c r="W163" s="566"/>
      <c r="X163" s="566"/>
      <c r="Y163" s="566"/>
      <c r="Z163" s="566"/>
      <c r="AA163" s="566"/>
      <c r="AB163" s="566"/>
      <c r="AC163" s="566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  <c r="AP163" s="566"/>
      <c r="AQ163" s="566"/>
    </row>
    <row r="164" spans="2:43" s="474" customFormat="1" x14ac:dyDescent="0.3">
      <c r="B164" s="548" t="s">
        <v>305</v>
      </c>
      <c r="C164" s="570">
        <f>C163*C162</f>
        <v>466844.63283150183</v>
      </c>
      <c r="D164" s="566"/>
      <c r="E164" s="566"/>
      <c r="F164" s="566"/>
      <c r="G164" s="566"/>
      <c r="H164" s="566"/>
      <c r="I164" s="566"/>
      <c r="J164" s="566"/>
      <c r="K164" s="566"/>
      <c r="L164" s="566"/>
      <c r="M164" s="566"/>
      <c r="N164" s="566"/>
      <c r="O164" s="566"/>
      <c r="P164" s="566"/>
      <c r="Q164" s="566"/>
      <c r="R164" s="566"/>
      <c r="S164" s="566"/>
      <c r="T164" s="566"/>
      <c r="U164" s="566"/>
      <c r="V164" s="566"/>
      <c r="W164" s="566"/>
      <c r="X164" s="566"/>
      <c r="Y164" s="566"/>
      <c r="Z164" s="566"/>
      <c r="AA164" s="566"/>
      <c r="AB164" s="566"/>
      <c r="AC164" s="566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  <c r="AP164" s="566"/>
      <c r="AQ164" s="566"/>
    </row>
    <row r="165" spans="2:43" x14ac:dyDescent="0.3">
      <c r="B165" s="548" t="s">
        <v>306</v>
      </c>
      <c r="C165" s="570">
        <f>SUMPRODUCT(D91:AQ91, D137:AQ137)</f>
        <v>2510826.1794797052</v>
      </c>
      <c r="D165" s="566"/>
      <c r="E165" s="566"/>
      <c r="F165" s="566"/>
      <c r="G165" s="571"/>
      <c r="H165" s="566"/>
      <c r="I165" s="566"/>
      <c r="J165" s="566"/>
      <c r="K165" s="566"/>
      <c r="L165" s="566"/>
      <c r="M165" s="566"/>
      <c r="N165" s="566"/>
      <c r="O165" s="566"/>
      <c r="P165" s="566"/>
      <c r="Q165" s="566"/>
      <c r="R165" s="566"/>
      <c r="S165" s="566"/>
      <c r="T165" s="566"/>
      <c r="U165" s="566"/>
      <c r="V165" s="566"/>
      <c r="W165" s="566"/>
      <c r="X165" s="566"/>
      <c r="Y165" s="566"/>
      <c r="Z165" s="566"/>
      <c r="AA165" s="566"/>
      <c r="AB165" s="566"/>
      <c r="AC165" s="566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  <c r="AP165" s="566"/>
      <c r="AQ165" s="566"/>
    </row>
    <row r="166" spans="2:43" x14ac:dyDescent="0.3">
      <c r="B166" s="572" t="s">
        <v>307</v>
      </c>
      <c r="C166" s="573">
        <f>C165-C164</f>
        <v>2043981.5466482034</v>
      </c>
      <c r="D166" s="566"/>
      <c r="E166" s="566"/>
      <c r="F166" s="571"/>
      <c r="G166" s="571"/>
      <c r="H166" s="566"/>
      <c r="I166" s="566"/>
      <c r="J166" s="398"/>
      <c r="K166" s="398"/>
      <c r="L166" s="566"/>
      <c r="M166" s="566"/>
      <c r="N166" s="566"/>
      <c r="O166" s="566"/>
      <c r="P166" s="566"/>
      <c r="Q166" s="566"/>
      <c r="R166" s="566"/>
      <c r="S166" s="566"/>
      <c r="T166" s="566"/>
      <c r="U166" s="566"/>
      <c r="V166" s="566"/>
      <c r="W166" s="566"/>
      <c r="X166" s="566"/>
      <c r="Y166" s="566"/>
      <c r="Z166" s="566"/>
      <c r="AA166" s="566"/>
      <c r="AB166" s="566"/>
      <c r="AC166" s="566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  <c r="AP166" s="566"/>
      <c r="AQ166" s="566"/>
    </row>
    <row r="167" spans="2:43" x14ac:dyDescent="0.3">
      <c r="B167" s="574"/>
      <c r="C167" s="575"/>
      <c r="D167" s="566"/>
      <c r="E167" s="566"/>
      <c r="F167" s="571"/>
      <c r="G167" s="571"/>
      <c r="H167" s="566"/>
      <c r="I167" s="566"/>
      <c r="J167" s="566"/>
      <c r="K167" s="398"/>
      <c r="L167" s="566"/>
      <c r="M167" s="566"/>
      <c r="N167" s="566"/>
      <c r="O167" s="566"/>
      <c r="P167" s="566"/>
      <c r="Q167" s="566"/>
      <c r="R167" s="566"/>
      <c r="S167" s="566"/>
      <c r="T167" s="566"/>
      <c r="U167" s="566"/>
      <c r="V167" s="566"/>
      <c r="W167" s="566"/>
      <c r="X167" s="566"/>
      <c r="Y167" s="566"/>
      <c r="Z167" s="566"/>
      <c r="AA167" s="566"/>
      <c r="AB167" s="566"/>
      <c r="AC167" s="566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  <c r="AP167" s="566"/>
      <c r="AQ167" s="566"/>
    </row>
    <row r="168" spans="2:43" x14ac:dyDescent="0.3">
      <c r="B168" s="473" t="s">
        <v>308</v>
      </c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474"/>
      <c r="P168" s="474"/>
      <c r="Q168" s="474"/>
      <c r="R168" s="474"/>
      <c r="S168" s="474"/>
      <c r="T168" s="474"/>
      <c r="U168" s="474"/>
      <c r="V168" s="474"/>
      <c r="W168" s="474"/>
      <c r="X168" s="474"/>
      <c r="Y168" s="474"/>
      <c r="Z168" s="474"/>
      <c r="AA168" s="474"/>
      <c r="AB168" s="474"/>
      <c r="AC168" s="474"/>
      <c r="AD168" s="474"/>
      <c r="AE168" s="474"/>
      <c r="AF168" s="474"/>
      <c r="AG168" s="474"/>
      <c r="AH168" s="474"/>
      <c r="AI168" s="474"/>
      <c r="AJ168" s="474"/>
      <c r="AK168" s="474"/>
      <c r="AL168" s="474"/>
      <c r="AM168" s="474"/>
      <c r="AN168" s="474"/>
      <c r="AO168" s="474"/>
      <c r="AP168" s="474"/>
      <c r="AQ168" s="474"/>
    </row>
    <row r="170" spans="2:43" x14ac:dyDescent="0.3">
      <c r="B170" s="576" t="s">
        <v>308</v>
      </c>
      <c r="C170" s="577" t="s">
        <v>106</v>
      </c>
      <c r="D170" s="578">
        <v>1</v>
      </c>
      <c r="E170" s="578">
        <v>2</v>
      </c>
      <c r="F170" s="578">
        <v>3</v>
      </c>
      <c r="G170" s="578">
        <v>4</v>
      </c>
      <c r="H170" s="578">
        <v>5</v>
      </c>
      <c r="I170" s="578">
        <v>6</v>
      </c>
      <c r="J170" s="578">
        <v>7</v>
      </c>
      <c r="K170" s="578">
        <v>8</v>
      </c>
      <c r="L170" s="578">
        <v>9</v>
      </c>
      <c r="M170" s="578">
        <v>10</v>
      </c>
      <c r="N170" s="578">
        <v>11</v>
      </c>
      <c r="O170" s="578">
        <v>12</v>
      </c>
      <c r="P170" s="578">
        <v>13</v>
      </c>
      <c r="Q170" s="578">
        <v>14</v>
      </c>
      <c r="R170" s="578">
        <v>15</v>
      </c>
      <c r="S170" s="578">
        <v>16</v>
      </c>
      <c r="T170" s="578">
        <v>17</v>
      </c>
      <c r="U170" s="578">
        <v>18</v>
      </c>
      <c r="V170" s="578">
        <v>19</v>
      </c>
      <c r="W170" s="578">
        <v>20</v>
      </c>
      <c r="X170" s="578">
        <v>21</v>
      </c>
      <c r="Y170" s="578">
        <v>22</v>
      </c>
      <c r="Z170" s="578">
        <v>23</v>
      </c>
      <c r="AA170" s="578">
        <v>24</v>
      </c>
      <c r="AB170" s="578">
        <v>25</v>
      </c>
      <c r="AC170" s="578">
        <v>26</v>
      </c>
      <c r="AD170" s="578">
        <v>27</v>
      </c>
      <c r="AE170" s="578">
        <v>28</v>
      </c>
      <c r="AF170" s="578">
        <v>29</v>
      </c>
      <c r="AG170" s="578">
        <v>30</v>
      </c>
      <c r="AH170" s="578">
        <v>31</v>
      </c>
      <c r="AI170" s="578">
        <v>32</v>
      </c>
      <c r="AJ170" s="578">
        <v>33</v>
      </c>
      <c r="AK170" s="578">
        <v>34</v>
      </c>
      <c r="AL170" s="578">
        <v>35</v>
      </c>
      <c r="AM170" s="578">
        <v>36</v>
      </c>
      <c r="AN170" s="578">
        <v>37</v>
      </c>
      <c r="AO170" s="578">
        <v>38</v>
      </c>
      <c r="AP170" s="578">
        <v>39</v>
      </c>
      <c r="AQ170" s="579">
        <v>40</v>
      </c>
    </row>
    <row r="171" spans="2:43" x14ac:dyDescent="0.3">
      <c r="B171" s="109"/>
      <c r="C171" s="49">
        <v>0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391"/>
    </row>
    <row r="172" spans="2:43" x14ac:dyDescent="0.3">
      <c r="B172" s="109"/>
      <c r="C172" s="49">
        <v>3</v>
      </c>
      <c r="D172" s="528">
        <v>0.33329999999999999</v>
      </c>
      <c r="E172" s="528">
        <v>0.44450000000000001</v>
      </c>
      <c r="F172" s="528">
        <v>0.14810000000000001</v>
      </c>
      <c r="G172" s="528">
        <v>7.4099999999999999E-2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391"/>
    </row>
    <row r="173" spans="2:43" x14ac:dyDescent="0.3">
      <c r="B173" s="109"/>
      <c r="C173" s="49">
        <v>5</v>
      </c>
      <c r="D173" s="528">
        <v>0.2</v>
      </c>
      <c r="E173" s="528">
        <v>0.32</v>
      </c>
      <c r="F173" s="528">
        <v>0.192</v>
      </c>
      <c r="G173" s="528">
        <v>0.1152</v>
      </c>
      <c r="H173" s="528">
        <v>0.1152</v>
      </c>
      <c r="I173" s="528">
        <v>5.7599999999999998E-2</v>
      </c>
      <c r="J173" s="528"/>
      <c r="K173" s="528"/>
      <c r="L173" s="528"/>
      <c r="M173" s="528"/>
      <c r="N173" s="528"/>
      <c r="O173" s="528"/>
      <c r="P173" s="528"/>
      <c r="Q173" s="528"/>
      <c r="R173" s="528"/>
      <c r="S173" s="528"/>
      <c r="T173" s="528"/>
      <c r="U173" s="528"/>
      <c r="V173" s="528"/>
      <c r="W173" s="528"/>
      <c r="X173" s="528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391"/>
    </row>
    <row r="174" spans="2:43" x14ac:dyDescent="0.3">
      <c r="B174" s="109"/>
      <c r="C174" s="49">
        <v>7</v>
      </c>
      <c r="D174" s="580">
        <v>0.1429</v>
      </c>
      <c r="E174" s="580">
        <v>0.24489999999999998</v>
      </c>
      <c r="F174" s="580">
        <v>0.17489999999999997</v>
      </c>
      <c r="G174" s="580">
        <v>0.1249</v>
      </c>
      <c r="H174" s="580">
        <v>8.9300000000000004E-2</v>
      </c>
      <c r="I174" s="580">
        <v>8.9200000000000002E-2</v>
      </c>
      <c r="J174" s="580">
        <v>8.929999999999999E-2</v>
      </c>
      <c r="K174" s="580">
        <v>4.4600000000000001E-2</v>
      </c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391"/>
    </row>
    <row r="175" spans="2:43" x14ac:dyDescent="0.3">
      <c r="B175" s="109"/>
      <c r="C175" s="49">
        <v>10</v>
      </c>
      <c r="D175" s="528">
        <v>0.1</v>
      </c>
      <c r="E175" s="528">
        <v>0.18</v>
      </c>
      <c r="F175" s="528">
        <v>0.14400000000000002</v>
      </c>
      <c r="G175" s="528">
        <v>0.1152</v>
      </c>
      <c r="H175" s="528">
        <v>9.2200000000000004E-2</v>
      </c>
      <c r="I175" s="528">
        <v>7.3700000000000002E-2</v>
      </c>
      <c r="J175" s="528">
        <v>6.5500000000000003E-2</v>
      </c>
      <c r="K175" s="528">
        <v>6.5500000000000003E-2</v>
      </c>
      <c r="L175" s="528">
        <v>6.5599999999999992E-2</v>
      </c>
      <c r="M175" s="528">
        <v>6.5500000000000003E-2</v>
      </c>
      <c r="N175" s="528">
        <v>3.2799999999999996E-2</v>
      </c>
      <c r="O175" s="528"/>
      <c r="P175" s="528"/>
      <c r="Q175" s="528"/>
      <c r="R175" s="528"/>
      <c r="S175" s="528"/>
      <c r="T175" s="528"/>
      <c r="U175" s="528"/>
      <c r="V175" s="528"/>
      <c r="W175" s="528"/>
      <c r="X175" s="528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391"/>
    </row>
    <row r="176" spans="2:43" x14ac:dyDescent="0.3">
      <c r="B176" s="109"/>
      <c r="C176" s="49">
        <v>15</v>
      </c>
      <c r="D176" s="528">
        <v>0.05</v>
      </c>
      <c r="E176" s="528">
        <v>9.5000000000000001E-2</v>
      </c>
      <c r="F176" s="528">
        <v>8.5500000000000007E-2</v>
      </c>
      <c r="G176" s="528">
        <v>7.6999999999999999E-2</v>
      </c>
      <c r="H176" s="528">
        <v>6.93E-2</v>
      </c>
      <c r="I176" s="528">
        <v>6.2300000000000001E-2</v>
      </c>
      <c r="J176" s="528">
        <v>5.8999999999999997E-2</v>
      </c>
      <c r="K176" s="528">
        <v>5.9000000000000004E-2</v>
      </c>
      <c r="L176" s="528">
        <v>5.91E-2</v>
      </c>
      <c r="M176" s="528">
        <v>5.9000000000000004E-2</v>
      </c>
      <c r="N176" s="528">
        <v>5.91E-2</v>
      </c>
      <c r="O176" s="528">
        <v>5.9000000000000004E-2</v>
      </c>
      <c r="P176" s="528">
        <v>5.91E-2</v>
      </c>
      <c r="Q176" s="528">
        <v>5.9000000000000004E-2</v>
      </c>
      <c r="R176" s="528">
        <v>5.91E-2</v>
      </c>
      <c r="S176" s="528">
        <v>2.9500000000000002E-2</v>
      </c>
      <c r="T176" s="528"/>
      <c r="U176" s="528"/>
      <c r="V176" s="528"/>
      <c r="W176" s="528"/>
      <c r="X176" s="528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391"/>
    </row>
    <row r="177" spans="2:43" x14ac:dyDescent="0.3">
      <c r="B177" s="109"/>
      <c r="C177" s="49">
        <v>20</v>
      </c>
      <c r="D177" s="528">
        <v>3.7499999999999999E-2</v>
      </c>
      <c r="E177" s="528">
        <v>7.2190000000000004E-2</v>
      </c>
      <c r="F177" s="528">
        <v>6.6769999999999996E-2</v>
      </c>
      <c r="G177" s="528">
        <v>6.1769999999999999E-2</v>
      </c>
      <c r="H177" s="528">
        <v>5.713E-2</v>
      </c>
      <c r="I177" s="528">
        <v>5.2850000000000001E-2</v>
      </c>
      <c r="J177" s="528">
        <v>4.888E-2</v>
      </c>
      <c r="K177" s="528">
        <v>4.5220000000000003E-2</v>
      </c>
      <c r="L177" s="528">
        <v>4.462E-2</v>
      </c>
      <c r="M177" s="528">
        <v>4.4610000000000004E-2</v>
      </c>
      <c r="N177" s="528">
        <v>4.462E-2</v>
      </c>
      <c r="O177" s="528">
        <v>4.4610000000000004E-2</v>
      </c>
      <c r="P177" s="528">
        <v>4.462E-2</v>
      </c>
      <c r="Q177" s="528">
        <v>4.4610000000000004E-2</v>
      </c>
      <c r="R177" s="528">
        <v>4.462E-2</v>
      </c>
      <c r="S177" s="528">
        <v>4.4610000000000004E-2</v>
      </c>
      <c r="T177" s="528">
        <v>4.462E-2</v>
      </c>
      <c r="U177" s="528">
        <v>4.4610000000000004E-2</v>
      </c>
      <c r="V177" s="528">
        <v>4.462E-2</v>
      </c>
      <c r="W177" s="528">
        <v>4.4610000000000004E-2</v>
      </c>
      <c r="X177" s="528">
        <v>2.231E-2</v>
      </c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391"/>
    </row>
    <row r="178" spans="2:43" x14ac:dyDescent="0.3">
      <c r="B178" s="178"/>
      <c r="C178" s="581" t="s">
        <v>309</v>
      </c>
      <c r="D178" s="582">
        <f t="shared" ref="D178:AQ178" si="74">VLOOKUP($H$15,$C$171:$AQ$177,D170+1)*IF($H$16,1-$H$17,100%)+IF($H$16,IF(D$71=1,$H$17,0%))</f>
        <v>0.1429</v>
      </c>
      <c r="E178" s="582">
        <f t="shared" si="74"/>
        <v>0.24489999999999998</v>
      </c>
      <c r="F178" s="582">
        <f t="shared" si="74"/>
        <v>0.17489999999999997</v>
      </c>
      <c r="G178" s="582">
        <f t="shared" si="74"/>
        <v>0.1249</v>
      </c>
      <c r="H178" s="582">
        <f t="shared" si="74"/>
        <v>8.9300000000000004E-2</v>
      </c>
      <c r="I178" s="582">
        <f t="shared" si="74"/>
        <v>8.9200000000000002E-2</v>
      </c>
      <c r="J178" s="582">
        <f t="shared" si="74"/>
        <v>8.929999999999999E-2</v>
      </c>
      <c r="K178" s="582">
        <f t="shared" si="74"/>
        <v>4.4600000000000001E-2</v>
      </c>
      <c r="L178" s="582">
        <f t="shared" si="74"/>
        <v>0</v>
      </c>
      <c r="M178" s="582">
        <f t="shared" si="74"/>
        <v>0</v>
      </c>
      <c r="N178" s="582">
        <f t="shared" si="74"/>
        <v>0</v>
      </c>
      <c r="O178" s="582">
        <f t="shared" si="74"/>
        <v>0</v>
      </c>
      <c r="P178" s="582">
        <f t="shared" si="74"/>
        <v>0</v>
      </c>
      <c r="Q178" s="582">
        <f t="shared" si="74"/>
        <v>0</v>
      </c>
      <c r="R178" s="582">
        <f t="shared" si="74"/>
        <v>0</v>
      </c>
      <c r="S178" s="582">
        <f t="shared" si="74"/>
        <v>0</v>
      </c>
      <c r="T178" s="582">
        <f t="shared" si="74"/>
        <v>0</v>
      </c>
      <c r="U178" s="582">
        <f t="shared" si="74"/>
        <v>0</v>
      </c>
      <c r="V178" s="582">
        <f t="shared" si="74"/>
        <v>0</v>
      </c>
      <c r="W178" s="582">
        <f t="shared" si="74"/>
        <v>0</v>
      </c>
      <c r="X178" s="582">
        <f t="shared" si="74"/>
        <v>0</v>
      </c>
      <c r="Y178" s="582">
        <f t="shared" si="74"/>
        <v>0</v>
      </c>
      <c r="Z178" s="582">
        <f t="shared" si="74"/>
        <v>0</v>
      </c>
      <c r="AA178" s="582">
        <f t="shared" si="74"/>
        <v>0</v>
      </c>
      <c r="AB178" s="582">
        <f t="shared" si="74"/>
        <v>0</v>
      </c>
      <c r="AC178" s="582">
        <f t="shared" si="74"/>
        <v>0</v>
      </c>
      <c r="AD178" s="582">
        <f t="shared" si="74"/>
        <v>0</v>
      </c>
      <c r="AE178" s="582">
        <f t="shared" si="74"/>
        <v>0</v>
      </c>
      <c r="AF178" s="582">
        <f t="shared" si="74"/>
        <v>0</v>
      </c>
      <c r="AG178" s="582">
        <f t="shared" si="74"/>
        <v>0</v>
      </c>
      <c r="AH178" s="582">
        <f t="shared" si="74"/>
        <v>0</v>
      </c>
      <c r="AI178" s="582">
        <f t="shared" si="74"/>
        <v>0</v>
      </c>
      <c r="AJ178" s="582">
        <f t="shared" si="74"/>
        <v>0</v>
      </c>
      <c r="AK178" s="582">
        <f t="shared" si="74"/>
        <v>0</v>
      </c>
      <c r="AL178" s="582">
        <f t="shared" si="74"/>
        <v>0</v>
      </c>
      <c r="AM178" s="582">
        <f t="shared" si="74"/>
        <v>0</v>
      </c>
      <c r="AN178" s="582">
        <f t="shared" si="74"/>
        <v>0</v>
      </c>
      <c r="AO178" s="582">
        <f t="shared" si="74"/>
        <v>0</v>
      </c>
      <c r="AP178" s="582">
        <f t="shared" si="74"/>
        <v>0</v>
      </c>
      <c r="AQ178" s="583">
        <f t="shared" si="74"/>
        <v>0</v>
      </c>
    </row>
    <row r="182" spans="2:43" x14ac:dyDescent="0.3">
      <c r="B182" s="576" t="s">
        <v>310</v>
      </c>
      <c r="C182" s="584" t="s">
        <v>47</v>
      </c>
      <c r="D182" s="578">
        <v>1</v>
      </c>
      <c r="E182" s="578">
        <v>2</v>
      </c>
      <c r="F182" s="578">
        <v>3</v>
      </c>
      <c r="G182" s="578">
        <v>4</v>
      </c>
      <c r="H182" s="578">
        <v>5</v>
      </c>
      <c r="I182" s="578">
        <v>6</v>
      </c>
      <c r="J182" s="578">
        <v>7</v>
      </c>
      <c r="K182" s="578">
        <v>8</v>
      </c>
      <c r="L182" s="578">
        <v>9</v>
      </c>
      <c r="M182" s="578">
        <v>10</v>
      </c>
      <c r="N182" s="578">
        <v>11</v>
      </c>
      <c r="O182" s="578">
        <v>12</v>
      </c>
      <c r="P182" s="578">
        <v>13</v>
      </c>
      <c r="Q182" s="578">
        <v>14</v>
      </c>
      <c r="R182" s="578">
        <v>15</v>
      </c>
      <c r="S182" s="578">
        <v>16</v>
      </c>
      <c r="T182" s="578">
        <v>17</v>
      </c>
      <c r="U182" s="578">
        <v>18</v>
      </c>
      <c r="V182" s="578">
        <v>19</v>
      </c>
      <c r="W182" s="578">
        <v>20</v>
      </c>
      <c r="X182" s="578">
        <v>21</v>
      </c>
      <c r="Y182" s="578">
        <v>22</v>
      </c>
      <c r="Z182" s="578">
        <v>23</v>
      </c>
      <c r="AA182" s="578">
        <v>24</v>
      </c>
      <c r="AB182" s="578">
        <v>25</v>
      </c>
      <c r="AC182" s="578">
        <v>26</v>
      </c>
      <c r="AD182" s="578">
        <v>27</v>
      </c>
      <c r="AE182" s="578">
        <v>28</v>
      </c>
      <c r="AF182" s="578">
        <v>29</v>
      </c>
      <c r="AG182" s="578">
        <v>30</v>
      </c>
      <c r="AH182" s="578">
        <v>31</v>
      </c>
      <c r="AI182" s="578">
        <v>32</v>
      </c>
      <c r="AJ182" s="578">
        <v>33</v>
      </c>
      <c r="AK182" s="578">
        <v>34</v>
      </c>
      <c r="AL182" s="578">
        <v>35</v>
      </c>
      <c r="AM182" s="578">
        <v>36</v>
      </c>
      <c r="AN182" s="578">
        <v>37</v>
      </c>
      <c r="AO182" s="578">
        <v>38</v>
      </c>
      <c r="AP182" s="578">
        <v>39</v>
      </c>
      <c r="AQ182" s="579">
        <v>40</v>
      </c>
    </row>
    <row r="183" spans="2:43" x14ac:dyDescent="0.3">
      <c r="B183" s="10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391"/>
    </row>
    <row r="184" spans="2:43" x14ac:dyDescent="0.3">
      <c r="B184" s="109"/>
      <c r="C184" s="585">
        <v>0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391"/>
    </row>
    <row r="185" spans="2:43" x14ac:dyDescent="0.3">
      <c r="B185" s="109"/>
      <c r="C185" s="585">
        <f>P9</f>
        <v>0</v>
      </c>
      <c r="D185" s="586">
        <f t="shared" ref="D185:M189" si="75">IF(AND(D$182&lt;=$C185,D$182&gt;$C184),-PMT($C$194,($C185-$C184),$R9/((1+$C$194)^($C185-$C184))),0)</f>
        <v>0</v>
      </c>
      <c r="E185" s="586">
        <f t="shared" si="75"/>
        <v>0</v>
      </c>
      <c r="F185" s="586">
        <f t="shared" si="75"/>
        <v>0</v>
      </c>
      <c r="G185" s="586">
        <f t="shared" si="75"/>
        <v>0</v>
      </c>
      <c r="H185" s="586">
        <f t="shared" si="75"/>
        <v>0</v>
      </c>
      <c r="I185" s="586">
        <f t="shared" si="75"/>
        <v>0</v>
      </c>
      <c r="J185" s="586">
        <f t="shared" si="75"/>
        <v>0</v>
      </c>
      <c r="K185" s="586">
        <f t="shared" si="75"/>
        <v>0</v>
      </c>
      <c r="L185" s="586">
        <f t="shared" si="75"/>
        <v>0</v>
      </c>
      <c r="M185" s="586">
        <f t="shared" si="75"/>
        <v>0</v>
      </c>
      <c r="N185" s="586">
        <f t="shared" ref="N185:W189" si="76">IF(AND(N$182&lt;=$C185,N$182&gt;$C184),-PMT($C$194,($C185-$C184),$R9/((1+$C$194)^($C185-$C184))),0)</f>
        <v>0</v>
      </c>
      <c r="O185" s="586">
        <f t="shared" si="76"/>
        <v>0</v>
      </c>
      <c r="P185" s="586">
        <f t="shared" si="76"/>
        <v>0</v>
      </c>
      <c r="Q185" s="586">
        <f t="shared" si="76"/>
        <v>0</v>
      </c>
      <c r="R185" s="586">
        <f t="shared" si="76"/>
        <v>0</v>
      </c>
      <c r="S185" s="586">
        <f t="shared" si="76"/>
        <v>0</v>
      </c>
      <c r="T185" s="586">
        <f t="shared" si="76"/>
        <v>0</v>
      </c>
      <c r="U185" s="586">
        <f t="shared" si="76"/>
        <v>0</v>
      </c>
      <c r="V185" s="586">
        <f t="shared" si="76"/>
        <v>0</v>
      </c>
      <c r="W185" s="586">
        <f t="shared" si="76"/>
        <v>0</v>
      </c>
      <c r="X185" s="586">
        <f t="shared" ref="X185:AG189" si="77">IF(AND(X$182&lt;=$C185,X$182&gt;$C184),-PMT($C$194,($C185-$C184),$R9/((1+$C$194)^($C185-$C184))),0)</f>
        <v>0</v>
      </c>
      <c r="Y185" s="586">
        <f t="shared" si="77"/>
        <v>0</v>
      </c>
      <c r="Z185" s="586">
        <f t="shared" si="77"/>
        <v>0</v>
      </c>
      <c r="AA185" s="586">
        <f t="shared" si="77"/>
        <v>0</v>
      </c>
      <c r="AB185" s="586">
        <f t="shared" si="77"/>
        <v>0</v>
      </c>
      <c r="AC185" s="586">
        <f t="shared" si="77"/>
        <v>0</v>
      </c>
      <c r="AD185" s="586">
        <f t="shared" si="77"/>
        <v>0</v>
      </c>
      <c r="AE185" s="586">
        <f t="shared" si="77"/>
        <v>0</v>
      </c>
      <c r="AF185" s="586">
        <f t="shared" si="77"/>
        <v>0</v>
      </c>
      <c r="AG185" s="586">
        <f t="shared" si="77"/>
        <v>0</v>
      </c>
      <c r="AH185" s="586">
        <f t="shared" ref="AH185:AQ189" si="78">IF(AND(AH$182&lt;=$C185,AH$182&gt;$C184),-PMT($C$194,($C185-$C184),$R9/((1+$C$194)^($C185-$C184))),0)</f>
        <v>0</v>
      </c>
      <c r="AI185" s="586">
        <f t="shared" si="78"/>
        <v>0</v>
      </c>
      <c r="AJ185" s="586">
        <f t="shared" si="78"/>
        <v>0</v>
      </c>
      <c r="AK185" s="586">
        <f t="shared" si="78"/>
        <v>0</v>
      </c>
      <c r="AL185" s="586">
        <f t="shared" si="78"/>
        <v>0</v>
      </c>
      <c r="AM185" s="586">
        <f t="shared" si="78"/>
        <v>0</v>
      </c>
      <c r="AN185" s="586">
        <f t="shared" si="78"/>
        <v>0</v>
      </c>
      <c r="AO185" s="586">
        <f t="shared" si="78"/>
        <v>0</v>
      </c>
      <c r="AP185" s="586">
        <f t="shared" si="78"/>
        <v>0</v>
      </c>
      <c r="AQ185" s="587">
        <f t="shared" si="78"/>
        <v>0</v>
      </c>
    </row>
    <row r="186" spans="2:43" x14ac:dyDescent="0.3">
      <c r="B186" s="109"/>
      <c r="C186" s="585">
        <f>P11</f>
        <v>0</v>
      </c>
      <c r="D186" s="586">
        <f t="shared" si="75"/>
        <v>0</v>
      </c>
      <c r="E186" s="586">
        <f t="shared" si="75"/>
        <v>0</v>
      </c>
      <c r="F186" s="586">
        <f t="shared" si="75"/>
        <v>0</v>
      </c>
      <c r="G186" s="586">
        <f t="shared" si="75"/>
        <v>0</v>
      </c>
      <c r="H186" s="586">
        <f t="shared" si="75"/>
        <v>0</v>
      </c>
      <c r="I186" s="586">
        <f t="shared" si="75"/>
        <v>0</v>
      </c>
      <c r="J186" s="586">
        <f t="shared" si="75"/>
        <v>0</v>
      </c>
      <c r="K186" s="586">
        <f t="shared" si="75"/>
        <v>0</v>
      </c>
      <c r="L186" s="586">
        <f t="shared" si="75"/>
        <v>0</v>
      </c>
      <c r="M186" s="586">
        <f t="shared" si="75"/>
        <v>0</v>
      </c>
      <c r="N186" s="586">
        <f t="shared" si="76"/>
        <v>0</v>
      </c>
      <c r="O186" s="586">
        <f t="shared" si="76"/>
        <v>0</v>
      </c>
      <c r="P186" s="586">
        <f t="shared" si="76"/>
        <v>0</v>
      </c>
      <c r="Q186" s="586">
        <f t="shared" si="76"/>
        <v>0</v>
      </c>
      <c r="R186" s="586">
        <f t="shared" si="76"/>
        <v>0</v>
      </c>
      <c r="S186" s="586">
        <f t="shared" si="76"/>
        <v>0</v>
      </c>
      <c r="T186" s="586">
        <f t="shared" si="76"/>
        <v>0</v>
      </c>
      <c r="U186" s="586">
        <f t="shared" si="76"/>
        <v>0</v>
      </c>
      <c r="V186" s="586">
        <f t="shared" si="76"/>
        <v>0</v>
      </c>
      <c r="W186" s="586">
        <f t="shared" si="76"/>
        <v>0</v>
      </c>
      <c r="X186" s="586">
        <f t="shared" si="77"/>
        <v>0</v>
      </c>
      <c r="Y186" s="586">
        <f t="shared" si="77"/>
        <v>0</v>
      </c>
      <c r="Z186" s="586">
        <f t="shared" si="77"/>
        <v>0</v>
      </c>
      <c r="AA186" s="586">
        <f t="shared" si="77"/>
        <v>0</v>
      </c>
      <c r="AB186" s="586">
        <f t="shared" si="77"/>
        <v>0</v>
      </c>
      <c r="AC186" s="586">
        <f t="shared" si="77"/>
        <v>0</v>
      </c>
      <c r="AD186" s="586">
        <f t="shared" si="77"/>
        <v>0</v>
      </c>
      <c r="AE186" s="586">
        <f t="shared" si="77"/>
        <v>0</v>
      </c>
      <c r="AF186" s="586">
        <f t="shared" si="77"/>
        <v>0</v>
      </c>
      <c r="AG186" s="586">
        <f t="shared" si="77"/>
        <v>0</v>
      </c>
      <c r="AH186" s="586">
        <f t="shared" si="78"/>
        <v>0</v>
      </c>
      <c r="AI186" s="586">
        <f t="shared" si="78"/>
        <v>0</v>
      </c>
      <c r="AJ186" s="586">
        <f t="shared" si="78"/>
        <v>0</v>
      </c>
      <c r="AK186" s="586">
        <f t="shared" si="78"/>
        <v>0</v>
      </c>
      <c r="AL186" s="586">
        <f t="shared" si="78"/>
        <v>0</v>
      </c>
      <c r="AM186" s="586">
        <f t="shared" si="78"/>
        <v>0</v>
      </c>
      <c r="AN186" s="586">
        <f t="shared" si="78"/>
        <v>0</v>
      </c>
      <c r="AO186" s="586">
        <f t="shared" si="78"/>
        <v>0</v>
      </c>
      <c r="AP186" s="586">
        <f t="shared" si="78"/>
        <v>0</v>
      </c>
      <c r="AQ186" s="587">
        <f t="shared" si="78"/>
        <v>0</v>
      </c>
    </row>
    <row r="187" spans="2:43" x14ac:dyDescent="0.3">
      <c r="B187" s="109"/>
      <c r="C187" s="585">
        <f>P12</f>
        <v>0</v>
      </c>
      <c r="D187" s="586">
        <f t="shared" si="75"/>
        <v>0</v>
      </c>
      <c r="E187" s="586">
        <f t="shared" si="75"/>
        <v>0</v>
      </c>
      <c r="F187" s="586">
        <f t="shared" si="75"/>
        <v>0</v>
      </c>
      <c r="G187" s="586">
        <f t="shared" si="75"/>
        <v>0</v>
      </c>
      <c r="H187" s="586">
        <f t="shared" si="75"/>
        <v>0</v>
      </c>
      <c r="I187" s="586">
        <f t="shared" si="75"/>
        <v>0</v>
      </c>
      <c r="J187" s="586">
        <f t="shared" si="75"/>
        <v>0</v>
      </c>
      <c r="K187" s="586">
        <f t="shared" si="75"/>
        <v>0</v>
      </c>
      <c r="L187" s="586">
        <f t="shared" si="75"/>
        <v>0</v>
      </c>
      <c r="M187" s="586">
        <f t="shared" si="75"/>
        <v>0</v>
      </c>
      <c r="N187" s="586">
        <f t="shared" si="76"/>
        <v>0</v>
      </c>
      <c r="O187" s="586">
        <f t="shared" si="76"/>
        <v>0</v>
      </c>
      <c r="P187" s="586">
        <f t="shared" si="76"/>
        <v>0</v>
      </c>
      <c r="Q187" s="586">
        <f t="shared" si="76"/>
        <v>0</v>
      </c>
      <c r="R187" s="586">
        <f t="shared" si="76"/>
        <v>0</v>
      </c>
      <c r="S187" s="586">
        <f t="shared" si="76"/>
        <v>0</v>
      </c>
      <c r="T187" s="586">
        <f t="shared" si="76"/>
        <v>0</v>
      </c>
      <c r="U187" s="586">
        <f t="shared" si="76"/>
        <v>0</v>
      </c>
      <c r="V187" s="586">
        <f t="shared" si="76"/>
        <v>0</v>
      </c>
      <c r="W187" s="586">
        <f t="shared" si="76"/>
        <v>0</v>
      </c>
      <c r="X187" s="586">
        <f t="shared" si="77"/>
        <v>0</v>
      </c>
      <c r="Y187" s="586">
        <f t="shared" si="77"/>
        <v>0</v>
      </c>
      <c r="Z187" s="586">
        <f t="shared" si="77"/>
        <v>0</v>
      </c>
      <c r="AA187" s="586">
        <f t="shared" si="77"/>
        <v>0</v>
      </c>
      <c r="AB187" s="586">
        <f t="shared" si="77"/>
        <v>0</v>
      </c>
      <c r="AC187" s="586">
        <f t="shared" si="77"/>
        <v>0</v>
      </c>
      <c r="AD187" s="586">
        <f t="shared" si="77"/>
        <v>0</v>
      </c>
      <c r="AE187" s="586">
        <f t="shared" si="77"/>
        <v>0</v>
      </c>
      <c r="AF187" s="586">
        <f t="shared" si="77"/>
        <v>0</v>
      </c>
      <c r="AG187" s="586">
        <f t="shared" si="77"/>
        <v>0</v>
      </c>
      <c r="AH187" s="586">
        <f t="shared" si="78"/>
        <v>0</v>
      </c>
      <c r="AI187" s="586">
        <f t="shared" si="78"/>
        <v>0</v>
      </c>
      <c r="AJ187" s="586">
        <f t="shared" si="78"/>
        <v>0</v>
      </c>
      <c r="AK187" s="586">
        <f t="shared" si="78"/>
        <v>0</v>
      </c>
      <c r="AL187" s="586">
        <f t="shared" si="78"/>
        <v>0</v>
      </c>
      <c r="AM187" s="586">
        <f t="shared" si="78"/>
        <v>0</v>
      </c>
      <c r="AN187" s="586">
        <f t="shared" si="78"/>
        <v>0</v>
      </c>
      <c r="AO187" s="586">
        <f t="shared" si="78"/>
        <v>0</v>
      </c>
      <c r="AP187" s="586">
        <f t="shared" si="78"/>
        <v>0</v>
      </c>
      <c r="AQ187" s="587">
        <f t="shared" si="78"/>
        <v>0</v>
      </c>
    </row>
    <row r="188" spans="2:43" x14ac:dyDescent="0.3">
      <c r="B188" s="109"/>
      <c r="C188" s="585">
        <f>P13</f>
        <v>0</v>
      </c>
      <c r="D188" s="586">
        <f t="shared" si="75"/>
        <v>0</v>
      </c>
      <c r="E188" s="586">
        <f t="shared" si="75"/>
        <v>0</v>
      </c>
      <c r="F188" s="586">
        <f t="shared" si="75"/>
        <v>0</v>
      </c>
      <c r="G188" s="586">
        <f t="shared" si="75"/>
        <v>0</v>
      </c>
      <c r="H188" s="586">
        <f t="shared" si="75"/>
        <v>0</v>
      </c>
      <c r="I188" s="586">
        <f t="shared" si="75"/>
        <v>0</v>
      </c>
      <c r="J188" s="586">
        <f t="shared" si="75"/>
        <v>0</v>
      </c>
      <c r="K188" s="586">
        <f t="shared" si="75"/>
        <v>0</v>
      </c>
      <c r="L188" s="586">
        <f t="shared" si="75"/>
        <v>0</v>
      </c>
      <c r="M188" s="586">
        <f t="shared" si="75"/>
        <v>0</v>
      </c>
      <c r="N188" s="586">
        <f t="shared" si="76"/>
        <v>0</v>
      </c>
      <c r="O188" s="586">
        <f t="shared" si="76"/>
        <v>0</v>
      </c>
      <c r="P188" s="586">
        <f t="shared" si="76"/>
        <v>0</v>
      </c>
      <c r="Q188" s="586">
        <f t="shared" si="76"/>
        <v>0</v>
      </c>
      <c r="R188" s="586">
        <f t="shared" si="76"/>
        <v>0</v>
      </c>
      <c r="S188" s="586">
        <f t="shared" si="76"/>
        <v>0</v>
      </c>
      <c r="T188" s="586">
        <f t="shared" si="76"/>
        <v>0</v>
      </c>
      <c r="U188" s="586">
        <f t="shared" si="76"/>
        <v>0</v>
      </c>
      <c r="V188" s="586">
        <f t="shared" si="76"/>
        <v>0</v>
      </c>
      <c r="W188" s="586">
        <f t="shared" si="76"/>
        <v>0</v>
      </c>
      <c r="X188" s="586">
        <f t="shared" si="77"/>
        <v>0</v>
      </c>
      <c r="Y188" s="586">
        <f t="shared" si="77"/>
        <v>0</v>
      </c>
      <c r="Z188" s="586">
        <f t="shared" si="77"/>
        <v>0</v>
      </c>
      <c r="AA188" s="586">
        <f t="shared" si="77"/>
        <v>0</v>
      </c>
      <c r="AB188" s="586">
        <f t="shared" si="77"/>
        <v>0</v>
      </c>
      <c r="AC188" s="586">
        <f t="shared" si="77"/>
        <v>0</v>
      </c>
      <c r="AD188" s="586">
        <f t="shared" si="77"/>
        <v>0</v>
      </c>
      <c r="AE188" s="586">
        <f t="shared" si="77"/>
        <v>0</v>
      </c>
      <c r="AF188" s="586">
        <f t="shared" si="77"/>
        <v>0</v>
      </c>
      <c r="AG188" s="586">
        <f t="shared" si="77"/>
        <v>0</v>
      </c>
      <c r="AH188" s="586">
        <f t="shared" si="78"/>
        <v>0</v>
      </c>
      <c r="AI188" s="586">
        <f t="shared" si="78"/>
        <v>0</v>
      </c>
      <c r="AJ188" s="586">
        <f t="shared" si="78"/>
        <v>0</v>
      </c>
      <c r="AK188" s="586">
        <f t="shared" si="78"/>
        <v>0</v>
      </c>
      <c r="AL188" s="586">
        <f t="shared" si="78"/>
        <v>0</v>
      </c>
      <c r="AM188" s="586">
        <f t="shared" si="78"/>
        <v>0</v>
      </c>
      <c r="AN188" s="586">
        <f t="shared" si="78"/>
        <v>0</v>
      </c>
      <c r="AO188" s="586">
        <f t="shared" si="78"/>
        <v>0</v>
      </c>
      <c r="AP188" s="586">
        <f t="shared" si="78"/>
        <v>0</v>
      </c>
      <c r="AQ188" s="587">
        <f t="shared" si="78"/>
        <v>0</v>
      </c>
    </row>
    <row r="189" spans="2:43" x14ac:dyDescent="0.3">
      <c r="B189" s="109"/>
      <c r="C189" s="585">
        <f>X15</f>
        <v>0</v>
      </c>
      <c r="D189" s="586">
        <f t="shared" si="75"/>
        <v>0</v>
      </c>
      <c r="E189" s="586">
        <f t="shared" si="75"/>
        <v>0</v>
      </c>
      <c r="F189" s="586">
        <f t="shared" si="75"/>
        <v>0</v>
      </c>
      <c r="G189" s="586">
        <f t="shared" si="75"/>
        <v>0</v>
      </c>
      <c r="H189" s="586">
        <f t="shared" si="75"/>
        <v>0</v>
      </c>
      <c r="I189" s="586">
        <f t="shared" si="75"/>
        <v>0</v>
      </c>
      <c r="J189" s="586">
        <f t="shared" si="75"/>
        <v>0</v>
      </c>
      <c r="K189" s="586">
        <f t="shared" si="75"/>
        <v>0</v>
      </c>
      <c r="L189" s="586">
        <f t="shared" si="75"/>
        <v>0</v>
      </c>
      <c r="M189" s="586">
        <f t="shared" si="75"/>
        <v>0</v>
      </c>
      <c r="N189" s="586">
        <f t="shared" si="76"/>
        <v>0</v>
      </c>
      <c r="O189" s="586">
        <f t="shared" si="76"/>
        <v>0</v>
      </c>
      <c r="P189" s="586">
        <f t="shared" si="76"/>
        <v>0</v>
      </c>
      <c r="Q189" s="586">
        <f t="shared" si="76"/>
        <v>0</v>
      </c>
      <c r="R189" s="586">
        <f t="shared" si="76"/>
        <v>0</v>
      </c>
      <c r="S189" s="586">
        <f t="shared" si="76"/>
        <v>0</v>
      </c>
      <c r="T189" s="586">
        <f t="shared" si="76"/>
        <v>0</v>
      </c>
      <c r="U189" s="586">
        <f t="shared" si="76"/>
        <v>0</v>
      </c>
      <c r="V189" s="586">
        <f t="shared" si="76"/>
        <v>0</v>
      </c>
      <c r="W189" s="586">
        <f t="shared" si="76"/>
        <v>0</v>
      </c>
      <c r="X189" s="586">
        <f t="shared" si="77"/>
        <v>0</v>
      </c>
      <c r="Y189" s="586">
        <f t="shared" si="77"/>
        <v>0</v>
      </c>
      <c r="Z189" s="586">
        <f t="shared" si="77"/>
        <v>0</v>
      </c>
      <c r="AA189" s="586">
        <f t="shared" si="77"/>
        <v>0</v>
      </c>
      <c r="AB189" s="586">
        <f t="shared" si="77"/>
        <v>0</v>
      </c>
      <c r="AC189" s="586">
        <f t="shared" si="77"/>
        <v>0</v>
      </c>
      <c r="AD189" s="586">
        <f t="shared" si="77"/>
        <v>0</v>
      </c>
      <c r="AE189" s="586">
        <f t="shared" si="77"/>
        <v>0</v>
      </c>
      <c r="AF189" s="586">
        <f t="shared" si="77"/>
        <v>0</v>
      </c>
      <c r="AG189" s="586">
        <f t="shared" si="77"/>
        <v>0</v>
      </c>
      <c r="AH189" s="586">
        <f t="shared" si="78"/>
        <v>0</v>
      </c>
      <c r="AI189" s="586">
        <f t="shared" si="78"/>
        <v>0</v>
      </c>
      <c r="AJ189" s="586">
        <f t="shared" si="78"/>
        <v>0</v>
      </c>
      <c r="AK189" s="586">
        <f t="shared" si="78"/>
        <v>0</v>
      </c>
      <c r="AL189" s="586">
        <f t="shared" si="78"/>
        <v>0</v>
      </c>
      <c r="AM189" s="586">
        <f t="shared" si="78"/>
        <v>0</v>
      </c>
      <c r="AN189" s="586">
        <f t="shared" si="78"/>
        <v>0</v>
      </c>
      <c r="AO189" s="586">
        <f t="shared" si="78"/>
        <v>0</v>
      </c>
      <c r="AP189" s="586">
        <f t="shared" si="78"/>
        <v>0</v>
      </c>
      <c r="AQ189" s="587">
        <f t="shared" si="78"/>
        <v>0</v>
      </c>
    </row>
    <row r="190" spans="2:43" x14ac:dyDescent="0.3">
      <c r="B190" s="109"/>
      <c r="C190" s="585">
        <f>X16</f>
        <v>0</v>
      </c>
      <c r="D190" s="586">
        <f t="shared" ref="D190:AQ191" si="79">IF(AND(D$182&lt;=$C190,D$182&gt;$C189),-PMT($C$194,($C190-$C189),$Z15/((1+$C$194)^($C190-$C189))),0)</f>
        <v>0</v>
      </c>
      <c r="E190" s="586">
        <f t="shared" si="79"/>
        <v>0</v>
      </c>
      <c r="F190" s="586">
        <f t="shared" si="79"/>
        <v>0</v>
      </c>
      <c r="G190" s="586">
        <f t="shared" si="79"/>
        <v>0</v>
      </c>
      <c r="H190" s="586">
        <f t="shared" si="79"/>
        <v>0</v>
      </c>
      <c r="I190" s="586">
        <f t="shared" si="79"/>
        <v>0</v>
      </c>
      <c r="J190" s="586">
        <f t="shared" si="79"/>
        <v>0</v>
      </c>
      <c r="K190" s="586">
        <f t="shared" si="79"/>
        <v>0</v>
      </c>
      <c r="L190" s="586">
        <f t="shared" si="79"/>
        <v>0</v>
      </c>
      <c r="M190" s="586">
        <f t="shared" si="79"/>
        <v>0</v>
      </c>
      <c r="N190" s="586">
        <f t="shared" si="79"/>
        <v>0</v>
      </c>
      <c r="O190" s="586">
        <f t="shared" si="79"/>
        <v>0</v>
      </c>
      <c r="P190" s="586">
        <f t="shared" si="79"/>
        <v>0</v>
      </c>
      <c r="Q190" s="586">
        <f t="shared" si="79"/>
        <v>0</v>
      </c>
      <c r="R190" s="586">
        <f t="shared" si="79"/>
        <v>0</v>
      </c>
      <c r="S190" s="586">
        <f t="shared" si="79"/>
        <v>0</v>
      </c>
      <c r="T190" s="586">
        <f t="shared" si="79"/>
        <v>0</v>
      </c>
      <c r="U190" s="586">
        <f t="shared" si="79"/>
        <v>0</v>
      </c>
      <c r="V190" s="586">
        <f t="shared" si="79"/>
        <v>0</v>
      </c>
      <c r="W190" s="586">
        <f t="shared" si="79"/>
        <v>0</v>
      </c>
      <c r="X190" s="586">
        <f t="shared" si="79"/>
        <v>0</v>
      </c>
      <c r="Y190" s="586">
        <f t="shared" si="79"/>
        <v>0</v>
      </c>
      <c r="Z190" s="586">
        <f t="shared" si="79"/>
        <v>0</v>
      </c>
      <c r="AA190" s="586">
        <f t="shared" si="79"/>
        <v>0</v>
      </c>
      <c r="AB190" s="586">
        <f t="shared" si="79"/>
        <v>0</v>
      </c>
      <c r="AC190" s="586">
        <f t="shared" si="79"/>
        <v>0</v>
      </c>
      <c r="AD190" s="586">
        <f t="shared" si="79"/>
        <v>0</v>
      </c>
      <c r="AE190" s="586">
        <f t="shared" si="79"/>
        <v>0</v>
      </c>
      <c r="AF190" s="586">
        <f t="shared" si="79"/>
        <v>0</v>
      </c>
      <c r="AG190" s="586">
        <f t="shared" si="79"/>
        <v>0</v>
      </c>
      <c r="AH190" s="586">
        <f t="shared" si="79"/>
        <v>0</v>
      </c>
      <c r="AI190" s="586">
        <f t="shared" si="79"/>
        <v>0</v>
      </c>
      <c r="AJ190" s="586">
        <f t="shared" si="79"/>
        <v>0</v>
      </c>
      <c r="AK190" s="586">
        <f t="shared" si="79"/>
        <v>0</v>
      </c>
      <c r="AL190" s="586">
        <f t="shared" si="79"/>
        <v>0</v>
      </c>
      <c r="AM190" s="586">
        <f t="shared" si="79"/>
        <v>0</v>
      </c>
      <c r="AN190" s="586">
        <f t="shared" si="79"/>
        <v>0</v>
      </c>
      <c r="AO190" s="586">
        <f t="shared" si="79"/>
        <v>0</v>
      </c>
      <c r="AP190" s="586">
        <f t="shared" si="79"/>
        <v>0</v>
      </c>
      <c r="AQ190" s="587">
        <f t="shared" si="79"/>
        <v>0</v>
      </c>
    </row>
    <row r="191" spans="2:43" x14ac:dyDescent="0.3">
      <c r="B191" s="109"/>
      <c r="C191" s="585">
        <f>X17</f>
        <v>0</v>
      </c>
      <c r="D191" s="586">
        <f t="shared" si="79"/>
        <v>0</v>
      </c>
      <c r="E191" s="586">
        <f t="shared" si="79"/>
        <v>0</v>
      </c>
      <c r="F191" s="586">
        <f t="shared" si="79"/>
        <v>0</v>
      </c>
      <c r="G191" s="586">
        <f t="shared" si="79"/>
        <v>0</v>
      </c>
      <c r="H191" s="586">
        <f t="shared" si="79"/>
        <v>0</v>
      </c>
      <c r="I191" s="586">
        <f t="shared" si="79"/>
        <v>0</v>
      </c>
      <c r="J191" s="586">
        <f t="shared" si="79"/>
        <v>0</v>
      </c>
      <c r="K191" s="586">
        <f t="shared" si="79"/>
        <v>0</v>
      </c>
      <c r="L191" s="586">
        <f t="shared" si="79"/>
        <v>0</v>
      </c>
      <c r="M191" s="586">
        <f t="shared" si="79"/>
        <v>0</v>
      </c>
      <c r="N191" s="586">
        <f t="shared" si="79"/>
        <v>0</v>
      </c>
      <c r="O191" s="586">
        <f t="shared" si="79"/>
        <v>0</v>
      </c>
      <c r="P191" s="586">
        <f t="shared" si="79"/>
        <v>0</v>
      </c>
      <c r="Q191" s="586">
        <f t="shared" si="79"/>
        <v>0</v>
      </c>
      <c r="R191" s="586">
        <f t="shared" si="79"/>
        <v>0</v>
      </c>
      <c r="S191" s="586">
        <f t="shared" ref="S191:AQ191" si="80">IF(AND(S$182&lt;=$C191,S$182&gt;$C190),-PMT($C$194,($C191-$C190),$Z16/((1+$C$194)^($C191-$C190))),0)</f>
        <v>0</v>
      </c>
      <c r="T191" s="586">
        <f t="shared" si="80"/>
        <v>0</v>
      </c>
      <c r="U191" s="586">
        <f t="shared" si="80"/>
        <v>0</v>
      </c>
      <c r="V191" s="586">
        <f t="shared" si="80"/>
        <v>0</v>
      </c>
      <c r="W191" s="586">
        <f t="shared" si="80"/>
        <v>0</v>
      </c>
      <c r="X191" s="586">
        <f t="shared" si="80"/>
        <v>0</v>
      </c>
      <c r="Y191" s="586">
        <f t="shared" si="80"/>
        <v>0</v>
      </c>
      <c r="Z191" s="586">
        <f t="shared" si="80"/>
        <v>0</v>
      </c>
      <c r="AA191" s="586">
        <f t="shared" si="80"/>
        <v>0</v>
      </c>
      <c r="AB191" s="586">
        <f t="shared" si="80"/>
        <v>0</v>
      </c>
      <c r="AC191" s="586">
        <f t="shared" si="80"/>
        <v>0</v>
      </c>
      <c r="AD191" s="586">
        <f t="shared" si="80"/>
        <v>0</v>
      </c>
      <c r="AE191" s="586">
        <f t="shared" si="80"/>
        <v>0</v>
      </c>
      <c r="AF191" s="586">
        <f t="shared" si="80"/>
        <v>0</v>
      </c>
      <c r="AG191" s="586">
        <f t="shared" si="80"/>
        <v>0</v>
      </c>
      <c r="AH191" s="586">
        <f t="shared" si="80"/>
        <v>0</v>
      </c>
      <c r="AI191" s="586">
        <f t="shared" si="80"/>
        <v>0</v>
      </c>
      <c r="AJ191" s="586">
        <f t="shared" si="80"/>
        <v>0</v>
      </c>
      <c r="AK191" s="586">
        <f t="shared" si="80"/>
        <v>0</v>
      </c>
      <c r="AL191" s="586">
        <f t="shared" si="80"/>
        <v>0</v>
      </c>
      <c r="AM191" s="586">
        <f t="shared" si="80"/>
        <v>0</v>
      </c>
      <c r="AN191" s="586">
        <f t="shared" si="80"/>
        <v>0</v>
      </c>
      <c r="AO191" s="586">
        <f t="shared" si="80"/>
        <v>0</v>
      </c>
      <c r="AP191" s="586">
        <f t="shared" si="80"/>
        <v>0</v>
      </c>
      <c r="AQ191" s="587">
        <f t="shared" si="80"/>
        <v>0</v>
      </c>
    </row>
    <row r="192" spans="2:43" x14ac:dyDescent="0.3">
      <c r="B192" s="109"/>
      <c r="C192" s="49"/>
      <c r="D192" s="588"/>
      <c r="E192" s="588"/>
      <c r="F192" s="588"/>
      <c r="G192" s="588"/>
      <c r="H192" s="588"/>
      <c r="I192" s="588"/>
      <c r="J192" s="588"/>
      <c r="K192" s="588"/>
      <c r="L192" s="588"/>
      <c r="M192" s="588"/>
      <c r="N192" s="588"/>
      <c r="O192" s="588"/>
      <c r="P192" s="588"/>
      <c r="Q192" s="588"/>
      <c r="R192" s="588"/>
      <c r="S192" s="588"/>
      <c r="T192" s="588"/>
      <c r="U192" s="588"/>
      <c r="V192" s="588"/>
      <c r="W192" s="588"/>
      <c r="X192" s="588"/>
      <c r="Y192" s="588"/>
      <c r="Z192" s="588"/>
      <c r="AA192" s="588"/>
      <c r="AB192" s="588"/>
      <c r="AC192" s="588"/>
      <c r="AD192" s="588"/>
      <c r="AE192" s="588"/>
      <c r="AF192" s="588"/>
      <c r="AG192" s="588"/>
      <c r="AH192" s="588"/>
      <c r="AI192" s="588"/>
      <c r="AJ192" s="588"/>
      <c r="AK192" s="588"/>
      <c r="AL192" s="588"/>
      <c r="AM192" s="588"/>
      <c r="AN192" s="588"/>
      <c r="AO192" s="588"/>
      <c r="AP192" s="588"/>
      <c r="AQ192" s="589"/>
    </row>
    <row r="193" spans="2:43" x14ac:dyDescent="0.3">
      <c r="B193" s="109"/>
      <c r="C193" s="49"/>
      <c r="D193" s="588"/>
      <c r="E193" s="588"/>
      <c r="F193" s="588"/>
      <c r="G193" s="588"/>
      <c r="H193" s="588"/>
      <c r="I193" s="588"/>
      <c r="J193" s="588"/>
      <c r="K193" s="588"/>
      <c r="L193" s="588"/>
      <c r="M193" s="588"/>
      <c r="N193" s="588"/>
      <c r="O193" s="588"/>
      <c r="P193" s="588"/>
      <c r="Q193" s="588"/>
      <c r="R193" s="588"/>
      <c r="S193" s="588"/>
      <c r="T193" s="588"/>
      <c r="U193" s="588"/>
      <c r="V193" s="588"/>
      <c r="W193" s="588"/>
      <c r="X193" s="588"/>
      <c r="Y193" s="588"/>
      <c r="Z193" s="588"/>
      <c r="AA193" s="588"/>
      <c r="AB193" s="588"/>
      <c r="AC193" s="588"/>
      <c r="AD193" s="588"/>
      <c r="AE193" s="588"/>
      <c r="AF193" s="588"/>
      <c r="AG193" s="588"/>
      <c r="AH193" s="588"/>
      <c r="AI193" s="588"/>
      <c r="AJ193" s="588"/>
      <c r="AK193" s="588"/>
      <c r="AL193" s="588"/>
      <c r="AM193" s="588"/>
      <c r="AN193" s="588"/>
      <c r="AO193" s="588"/>
      <c r="AP193" s="588"/>
      <c r="AQ193" s="589"/>
    </row>
    <row r="194" spans="2:43" x14ac:dyDescent="0.3">
      <c r="B194" s="109" t="s">
        <v>301</v>
      </c>
      <c r="C194" s="590">
        <v>0.02</v>
      </c>
      <c r="D194" s="49"/>
      <c r="E194" s="591"/>
      <c r="F194" s="591"/>
      <c r="G194" s="591"/>
      <c r="H194" s="591"/>
      <c r="I194" s="591"/>
      <c r="J194" s="591"/>
      <c r="K194" s="591"/>
      <c r="L194" s="591"/>
      <c r="M194" s="591"/>
      <c r="N194" s="591"/>
      <c r="O194" s="591"/>
      <c r="P194" s="591"/>
      <c r="Q194" s="591"/>
      <c r="R194" s="591"/>
      <c r="S194" s="591"/>
      <c r="T194" s="591"/>
      <c r="U194" s="591"/>
      <c r="V194" s="591"/>
      <c r="W194" s="591"/>
      <c r="X194" s="591"/>
      <c r="Y194" s="591"/>
      <c r="Z194" s="591"/>
      <c r="AA194" s="591"/>
      <c r="AB194" s="591"/>
      <c r="AC194" s="591"/>
      <c r="AD194" s="591"/>
      <c r="AE194" s="591"/>
      <c r="AF194" s="591"/>
      <c r="AG194" s="591"/>
      <c r="AH194" s="591"/>
      <c r="AI194" s="591"/>
      <c r="AJ194" s="591"/>
      <c r="AK194" s="591"/>
      <c r="AL194" s="591"/>
      <c r="AM194" s="591"/>
      <c r="AN194" s="591"/>
      <c r="AO194" s="591"/>
      <c r="AP194" s="591"/>
      <c r="AQ194" s="592"/>
    </row>
    <row r="195" spans="2:43" x14ac:dyDescent="0.3">
      <c r="B195" s="109" t="s">
        <v>290</v>
      </c>
      <c r="C195" s="49"/>
      <c r="D195" s="586">
        <v>0</v>
      </c>
      <c r="E195" s="586">
        <f t="shared" ref="E195:AQ195" si="81">D199</f>
        <v>0</v>
      </c>
      <c r="F195" s="586">
        <f t="shared" si="81"/>
        <v>0</v>
      </c>
      <c r="G195" s="586">
        <f t="shared" si="81"/>
        <v>0</v>
      </c>
      <c r="H195" s="586">
        <f t="shared" si="81"/>
        <v>0</v>
      </c>
      <c r="I195" s="586">
        <f t="shared" si="81"/>
        <v>0</v>
      </c>
      <c r="J195" s="586">
        <f t="shared" si="81"/>
        <v>0</v>
      </c>
      <c r="K195" s="586">
        <f t="shared" si="81"/>
        <v>0</v>
      </c>
      <c r="L195" s="586">
        <f t="shared" si="81"/>
        <v>0</v>
      </c>
      <c r="M195" s="586">
        <f t="shared" si="81"/>
        <v>0</v>
      </c>
      <c r="N195" s="586">
        <f t="shared" si="81"/>
        <v>0</v>
      </c>
      <c r="O195" s="586">
        <f t="shared" si="81"/>
        <v>0</v>
      </c>
      <c r="P195" s="586">
        <f t="shared" si="81"/>
        <v>0</v>
      </c>
      <c r="Q195" s="586">
        <f t="shared" si="81"/>
        <v>0</v>
      </c>
      <c r="R195" s="586">
        <f t="shared" si="81"/>
        <v>0</v>
      </c>
      <c r="S195" s="586">
        <f t="shared" si="81"/>
        <v>0</v>
      </c>
      <c r="T195" s="586">
        <f t="shared" si="81"/>
        <v>0</v>
      </c>
      <c r="U195" s="586">
        <f t="shared" si="81"/>
        <v>0</v>
      </c>
      <c r="V195" s="586">
        <f t="shared" si="81"/>
        <v>0</v>
      </c>
      <c r="W195" s="586">
        <f t="shared" si="81"/>
        <v>0</v>
      </c>
      <c r="X195" s="586">
        <f t="shared" si="81"/>
        <v>0</v>
      </c>
      <c r="Y195" s="586">
        <f t="shared" si="81"/>
        <v>0</v>
      </c>
      <c r="Z195" s="586">
        <f t="shared" si="81"/>
        <v>0</v>
      </c>
      <c r="AA195" s="586">
        <f t="shared" si="81"/>
        <v>0</v>
      </c>
      <c r="AB195" s="586">
        <f t="shared" si="81"/>
        <v>0</v>
      </c>
      <c r="AC195" s="586">
        <f t="shared" si="81"/>
        <v>0</v>
      </c>
      <c r="AD195" s="586">
        <f t="shared" si="81"/>
        <v>0</v>
      </c>
      <c r="AE195" s="586">
        <f t="shared" si="81"/>
        <v>0</v>
      </c>
      <c r="AF195" s="586">
        <f t="shared" si="81"/>
        <v>0</v>
      </c>
      <c r="AG195" s="586">
        <f t="shared" si="81"/>
        <v>0</v>
      </c>
      <c r="AH195" s="586">
        <f t="shared" si="81"/>
        <v>0</v>
      </c>
      <c r="AI195" s="586">
        <f t="shared" si="81"/>
        <v>0</v>
      </c>
      <c r="AJ195" s="586">
        <f t="shared" si="81"/>
        <v>0</v>
      </c>
      <c r="AK195" s="586">
        <f t="shared" si="81"/>
        <v>0</v>
      </c>
      <c r="AL195" s="586">
        <f t="shared" si="81"/>
        <v>0</v>
      </c>
      <c r="AM195" s="586">
        <f t="shared" si="81"/>
        <v>0</v>
      </c>
      <c r="AN195" s="586">
        <f t="shared" si="81"/>
        <v>0</v>
      </c>
      <c r="AO195" s="586">
        <f t="shared" si="81"/>
        <v>0</v>
      </c>
      <c r="AP195" s="586">
        <f t="shared" si="81"/>
        <v>0</v>
      </c>
      <c r="AQ195" s="587">
        <f t="shared" si="81"/>
        <v>0</v>
      </c>
    </row>
    <row r="196" spans="2:43" x14ac:dyDescent="0.3">
      <c r="B196" s="109" t="s">
        <v>311</v>
      </c>
      <c r="C196" s="49"/>
      <c r="D196" s="586">
        <f t="shared" ref="D196:AQ196" si="82">D195*$C$191</f>
        <v>0</v>
      </c>
      <c r="E196" s="586">
        <f t="shared" si="82"/>
        <v>0</v>
      </c>
      <c r="F196" s="586">
        <f t="shared" si="82"/>
        <v>0</v>
      </c>
      <c r="G196" s="586">
        <f t="shared" si="82"/>
        <v>0</v>
      </c>
      <c r="H196" s="586">
        <f t="shared" si="82"/>
        <v>0</v>
      </c>
      <c r="I196" s="586">
        <f t="shared" si="82"/>
        <v>0</v>
      </c>
      <c r="J196" s="586">
        <f t="shared" si="82"/>
        <v>0</v>
      </c>
      <c r="K196" s="586">
        <f t="shared" si="82"/>
        <v>0</v>
      </c>
      <c r="L196" s="586">
        <f t="shared" si="82"/>
        <v>0</v>
      </c>
      <c r="M196" s="586">
        <f t="shared" si="82"/>
        <v>0</v>
      </c>
      <c r="N196" s="586">
        <f t="shared" si="82"/>
        <v>0</v>
      </c>
      <c r="O196" s="586">
        <f t="shared" si="82"/>
        <v>0</v>
      </c>
      <c r="P196" s="586">
        <f t="shared" si="82"/>
        <v>0</v>
      </c>
      <c r="Q196" s="586">
        <f t="shared" si="82"/>
        <v>0</v>
      </c>
      <c r="R196" s="586">
        <f t="shared" si="82"/>
        <v>0</v>
      </c>
      <c r="S196" s="586">
        <f t="shared" si="82"/>
        <v>0</v>
      </c>
      <c r="T196" s="586">
        <f t="shared" si="82"/>
        <v>0</v>
      </c>
      <c r="U196" s="586">
        <f t="shared" si="82"/>
        <v>0</v>
      </c>
      <c r="V196" s="586">
        <f t="shared" si="82"/>
        <v>0</v>
      </c>
      <c r="W196" s="586">
        <f t="shared" si="82"/>
        <v>0</v>
      </c>
      <c r="X196" s="586">
        <f t="shared" si="82"/>
        <v>0</v>
      </c>
      <c r="Y196" s="586">
        <f t="shared" si="82"/>
        <v>0</v>
      </c>
      <c r="Z196" s="586">
        <f t="shared" si="82"/>
        <v>0</v>
      </c>
      <c r="AA196" s="586">
        <f t="shared" si="82"/>
        <v>0</v>
      </c>
      <c r="AB196" s="586">
        <f t="shared" si="82"/>
        <v>0</v>
      </c>
      <c r="AC196" s="586">
        <f t="shared" si="82"/>
        <v>0</v>
      </c>
      <c r="AD196" s="586">
        <f t="shared" si="82"/>
        <v>0</v>
      </c>
      <c r="AE196" s="586">
        <f t="shared" si="82"/>
        <v>0</v>
      </c>
      <c r="AF196" s="586">
        <f t="shared" si="82"/>
        <v>0</v>
      </c>
      <c r="AG196" s="586">
        <f t="shared" si="82"/>
        <v>0</v>
      </c>
      <c r="AH196" s="586">
        <f t="shared" si="82"/>
        <v>0</v>
      </c>
      <c r="AI196" s="586">
        <f t="shared" si="82"/>
        <v>0</v>
      </c>
      <c r="AJ196" s="586">
        <f t="shared" si="82"/>
        <v>0</v>
      </c>
      <c r="AK196" s="586">
        <f t="shared" si="82"/>
        <v>0</v>
      </c>
      <c r="AL196" s="586">
        <f t="shared" si="82"/>
        <v>0</v>
      </c>
      <c r="AM196" s="586">
        <f t="shared" si="82"/>
        <v>0</v>
      </c>
      <c r="AN196" s="586">
        <f t="shared" si="82"/>
        <v>0</v>
      </c>
      <c r="AO196" s="586">
        <f t="shared" si="82"/>
        <v>0</v>
      </c>
      <c r="AP196" s="586">
        <f t="shared" si="82"/>
        <v>0</v>
      </c>
      <c r="AQ196" s="587">
        <f t="shared" si="82"/>
        <v>0</v>
      </c>
    </row>
    <row r="197" spans="2:43" x14ac:dyDescent="0.3">
      <c r="B197" s="109" t="s">
        <v>312</v>
      </c>
      <c r="C197" s="49"/>
      <c r="D197" s="586">
        <f t="shared" ref="D197:AQ197" si="83">SUM(D$185:D$191)</f>
        <v>0</v>
      </c>
      <c r="E197" s="586">
        <f t="shared" si="83"/>
        <v>0</v>
      </c>
      <c r="F197" s="586">
        <f t="shared" si="83"/>
        <v>0</v>
      </c>
      <c r="G197" s="586">
        <f t="shared" si="83"/>
        <v>0</v>
      </c>
      <c r="H197" s="586">
        <f t="shared" si="83"/>
        <v>0</v>
      </c>
      <c r="I197" s="586">
        <f t="shared" si="83"/>
        <v>0</v>
      </c>
      <c r="J197" s="586">
        <f t="shared" si="83"/>
        <v>0</v>
      </c>
      <c r="K197" s="586">
        <f t="shared" si="83"/>
        <v>0</v>
      </c>
      <c r="L197" s="586">
        <f t="shared" si="83"/>
        <v>0</v>
      </c>
      <c r="M197" s="586">
        <f t="shared" si="83"/>
        <v>0</v>
      </c>
      <c r="N197" s="586">
        <f t="shared" si="83"/>
        <v>0</v>
      </c>
      <c r="O197" s="586">
        <f t="shared" si="83"/>
        <v>0</v>
      </c>
      <c r="P197" s="586">
        <f t="shared" si="83"/>
        <v>0</v>
      </c>
      <c r="Q197" s="586">
        <f t="shared" si="83"/>
        <v>0</v>
      </c>
      <c r="R197" s="586">
        <f t="shared" si="83"/>
        <v>0</v>
      </c>
      <c r="S197" s="586">
        <f t="shared" si="83"/>
        <v>0</v>
      </c>
      <c r="T197" s="586">
        <f t="shared" si="83"/>
        <v>0</v>
      </c>
      <c r="U197" s="586">
        <f t="shared" si="83"/>
        <v>0</v>
      </c>
      <c r="V197" s="586">
        <f t="shared" si="83"/>
        <v>0</v>
      </c>
      <c r="W197" s="586">
        <f t="shared" si="83"/>
        <v>0</v>
      </c>
      <c r="X197" s="586">
        <f t="shared" si="83"/>
        <v>0</v>
      </c>
      <c r="Y197" s="586">
        <f t="shared" si="83"/>
        <v>0</v>
      </c>
      <c r="Z197" s="586">
        <f t="shared" si="83"/>
        <v>0</v>
      </c>
      <c r="AA197" s="586">
        <f t="shared" si="83"/>
        <v>0</v>
      </c>
      <c r="AB197" s="586">
        <f t="shared" si="83"/>
        <v>0</v>
      </c>
      <c r="AC197" s="586">
        <f t="shared" si="83"/>
        <v>0</v>
      </c>
      <c r="AD197" s="586">
        <f t="shared" si="83"/>
        <v>0</v>
      </c>
      <c r="AE197" s="586">
        <f t="shared" si="83"/>
        <v>0</v>
      </c>
      <c r="AF197" s="586">
        <f t="shared" si="83"/>
        <v>0</v>
      </c>
      <c r="AG197" s="586">
        <f t="shared" si="83"/>
        <v>0</v>
      </c>
      <c r="AH197" s="586">
        <f t="shared" si="83"/>
        <v>0</v>
      </c>
      <c r="AI197" s="586">
        <f t="shared" si="83"/>
        <v>0</v>
      </c>
      <c r="AJ197" s="586">
        <f t="shared" si="83"/>
        <v>0</v>
      </c>
      <c r="AK197" s="586">
        <f t="shared" si="83"/>
        <v>0</v>
      </c>
      <c r="AL197" s="586">
        <f t="shared" si="83"/>
        <v>0</v>
      </c>
      <c r="AM197" s="586">
        <f t="shared" si="83"/>
        <v>0</v>
      </c>
      <c r="AN197" s="586">
        <f t="shared" si="83"/>
        <v>0</v>
      </c>
      <c r="AO197" s="586">
        <f t="shared" si="83"/>
        <v>0</v>
      </c>
      <c r="AP197" s="586">
        <f t="shared" si="83"/>
        <v>0</v>
      </c>
      <c r="AQ197" s="587">
        <f t="shared" si="83"/>
        <v>0</v>
      </c>
    </row>
    <row r="198" spans="2:43" x14ac:dyDescent="0.3">
      <c r="B198" s="109" t="s">
        <v>313</v>
      </c>
      <c r="C198" s="49"/>
      <c r="D198" s="586">
        <f t="shared" ref="D198:AQ198" si="84">-SUMPRODUCT(($P$7:$P$13=D$179)*$Q$7:$Q$13)</f>
        <v>0</v>
      </c>
      <c r="E198" s="586">
        <f t="shared" si="84"/>
        <v>0</v>
      </c>
      <c r="F198" s="586">
        <f t="shared" si="84"/>
        <v>0</v>
      </c>
      <c r="G198" s="586">
        <f t="shared" si="84"/>
        <v>0</v>
      </c>
      <c r="H198" s="586">
        <f t="shared" si="84"/>
        <v>0</v>
      </c>
      <c r="I198" s="586">
        <f t="shared" si="84"/>
        <v>0</v>
      </c>
      <c r="J198" s="586">
        <f t="shared" si="84"/>
        <v>0</v>
      </c>
      <c r="K198" s="586">
        <f t="shared" si="84"/>
        <v>0</v>
      </c>
      <c r="L198" s="586">
        <f t="shared" si="84"/>
        <v>0</v>
      </c>
      <c r="M198" s="586">
        <f t="shared" si="84"/>
        <v>0</v>
      </c>
      <c r="N198" s="586">
        <f t="shared" si="84"/>
        <v>0</v>
      </c>
      <c r="O198" s="586">
        <f t="shared" si="84"/>
        <v>0</v>
      </c>
      <c r="P198" s="586">
        <f t="shared" si="84"/>
        <v>0</v>
      </c>
      <c r="Q198" s="586">
        <f t="shared" si="84"/>
        <v>0</v>
      </c>
      <c r="R198" s="586">
        <f t="shared" si="84"/>
        <v>0</v>
      </c>
      <c r="S198" s="586">
        <f t="shared" si="84"/>
        <v>0</v>
      </c>
      <c r="T198" s="586">
        <f t="shared" si="84"/>
        <v>0</v>
      </c>
      <c r="U198" s="586">
        <f t="shared" si="84"/>
        <v>0</v>
      </c>
      <c r="V198" s="586">
        <f t="shared" si="84"/>
        <v>0</v>
      </c>
      <c r="W198" s="586">
        <f t="shared" si="84"/>
        <v>0</v>
      </c>
      <c r="X198" s="586">
        <f t="shared" si="84"/>
        <v>0</v>
      </c>
      <c r="Y198" s="586">
        <f t="shared" si="84"/>
        <v>0</v>
      </c>
      <c r="Z198" s="586">
        <f t="shared" si="84"/>
        <v>0</v>
      </c>
      <c r="AA198" s="586">
        <f t="shared" si="84"/>
        <v>0</v>
      </c>
      <c r="AB198" s="586">
        <f t="shared" si="84"/>
        <v>0</v>
      </c>
      <c r="AC198" s="586">
        <f t="shared" si="84"/>
        <v>0</v>
      </c>
      <c r="AD198" s="586">
        <f t="shared" si="84"/>
        <v>0</v>
      </c>
      <c r="AE198" s="586">
        <f t="shared" si="84"/>
        <v>0</v>
      </c>
      <c r="AF198" s="586">
        <f t="shared" si="84"/>
        <v>0</v>
      </c>
      <c r="AG198" s="586">
        <f t="shared" si="84"/>
        <v>0</v>
      </c>
      <c r="AH198" s="586">
        <f t="shared" si="84"/>
        <v>0</v>
      </c>
      <c r="AI198" s="586">
        <f t="shared" si="84"/>
        <v>0</v>
      </c>
      <c r="AJ198" s="586">
        <f t="shared" si="84"/>
        <v>0</v>
      </c>
      <c r="AK198" s="586">
        <f t="shared" si="84"/>
        <v>0</v>
      </c>
      <c r="AL198" s="586">
        <f t="shared" si="84"/>
        <v>0</v>
      </c>
      <c r="AM198" s="586">
        <f t="shared" si="84"/>
        <v>0</v>
      </c>
      <c r="AN198" s="586">
        <f t="shared" si="84"/>
        <v>0</v>
      </c>
      <c r="AO198" s="586">
        <f t="shared" si="84"/>
        <v>0</v>
      </c>
      <c r="AP198" s="586">
        <f t="shared" si="84"/>
        <v>0</v>
      </c>
      <c r="AQ198" s="587">
        <f t="shared" si="84"/>
        <v>0</v>
      </c>
    </row>
    <row r="199" spans="2:43" x14ac:dyDescent="0.3">
      <c r="B199" s="109" t="s">
        <v>293</v>
      </c>
      <c r="C199" s="49"/>
      <c r="D199" s="586">
        <f t="shared" ref="D199:AQ199" si="85">SUM(D195:D198)</f>
        <v>0</v>
      </c>
      <c r="E199" s="586">
        <f t="shared" si="85"/>
        <v>0</v>
      </c>
      <c r="F199" s="586">
        <f t="shared" si="85"/>
        <v>0</v>
      </c>
      <c r="G199" s="586">
        <f t="shared" si="85"/>
        <v>0</v>
      </c>
      <c r="H199" s="586">
        <f t="shared" si="85"/>
        <v>0</v>
      </c>
      <c r="I199" s="586">
        <f t="shared" si="85"/>
        <v>0</v>
      </c>
      <c r="J199" s="586">
        <f t="shared" si="85"/>
        <v>0</v>
      </c>
      <c r="K199" s="586">
        <f t="shared" si="85"/>
        <v>0</v>
      </c>
      <c r="L199" s="586">
        <f t="shared" si="85"/>
        <v>0</v>
      </c>
      <c r="M199" s="586">
        <f t="shared" si="85"/>
        <v>0</v>
      </c>
      <c r="N199" s="586">
        <f t="shared" si="85"/>
        <v>0</v>
      </c>
      <c r="O199" s="586">
        <f t="shared" si="85"/>
        <v>0</v>
      </c>
      <c r="P199" s="586">
        <f t="shared" si="85"/>
        <v>0</v>
      </c>
      <c r="Q199" s="586">
        <f t="shared" si="85"/>
        <v>0</v>
      </c>
      <c r="R199" s="586">
        <f t="shared" si="85"/>
        <v>0</v>
      </c>
      <c r="S199" s="586">
        <f t="shared" si="85"/>
        <v>0</v>
      </c>
      <c r="T199" s="586">
        <f t="shared" si="85"/>
        <v>0</v>
      </c>
      <c r="U199" s="586">
        <f t="shared" si="85"/>
        <v>0</v>
      </c>
      <c r="V199" s="586">
        <f t="shared" si="85"/>
        <v>0</v>
      </c>
      <c r="W199" s="586">
        <f t="shared" si="85"/>
        <v>0</v>
      </c>
      <c r="X199" s="586">
        <f t="shared" si="85"/>
        <v>0</v>
      </c>
      <c r="Y199" s="586">
        <f t="shared" si="85"/>
        <v>0</v>
      </c>
      <c r="Z199" s="586">
        <f t="shared" si="85"/>
        <v>0</v>
      </c>
      <c r="AA199" s="586">
        <f t="shared" si="85"/>
        <v>0</v>
      </c>
      <c r="AB199" s="586">
        <f t="shared" si="85"/>
        <v>0</v>
      </c>
      <c r="AC199" s="586">
        <f t="shared" si="85"/>
        <v>0</v>
      </c>
      <c r="AD199" s="586">
        <f t="shared" si="85"/>
        <v>0</v>
      </c>
      <c r="AE199" s="586">
        <f t="shared" si="85"/>
        <v>0</v>
      </c>
      <c r="AF199" s="586">
        <f t="shared" si="85"/>
        <v>0</v>
      </c>
      <c r="AG199" s="586">
        <f t="shared" si="85"/>
        <v>0</v>
      </c>
      <c r="AH199" s="586">
        <f t="shared" si="85"/>
        <v>0</v>
      </c>
      <c r="AI199" s="586">
        <f t="shared" si="85"/>
        <v>0</v>
      </c>
      <c r="AJ199" s="586">
        <f t="shared" si="85"/>
        <v>0</v>
      </c>
      <c r="AK199" s="586">
        <f t="shared" si="85"/>
        <v>0</v>
      </c>
      <c r="AL199" s="586">
        <f t="shared" si="85"/>
        <v>0</v>
      </c>
      <c r="AM199" s="586">
        <f t="shared" si="85"/>
        <v>0</v>
      </c>
      <c r="AN199" s="586">
        <f t="shared" si="85"/>
        <v>0</v>
      </c>
      <c r="AO199" s="586">
        <f t="shared" si="85"/>
        <v>0</v>
      </c>
      <c r="AP199" s="586">
        <f t="shared" si="85"/>
        <v>0</v>
      </c>
      <c r="AQ199" s="587">
        <f t="shared" si="85"/>
        <v>0</v>
      </c>
    </row>
    <row r="200" spans="2:43" x14ac:dyDescent="0.3">
      <c r="B200" s="109"/>
      <c r="C200" s="49"/>
      <c r="D200" s="586"/>
      <c r="E200" s="586"/>
      <c r="F200" s="586"/>
      <c r="G200" s="586"/>
      <c r="H200" s="586"/>
      <c r="I200" s="586"/>
      <c r="J200" s="586"/>
      <c r="K200" s="586"/>
      <c r="L200" s="586"/>
      <c r="M200" s="586"/>
      <c r="N200" s="586"/>
      <c r="O200" s="586"/>
      <c r="P200" s="586"/>
      <c r="Q200" s="586"/>
      <c r="R200" s="586"/>
      <c r="S200" s="586"/>
      <c r="T200" s="586"/>
      <c r="U200" s="586"/>
      <c r="V200" s="586"/>
      <c r="W200" s="586"/>
      <c r="X200" s="586"/>
      <c r="Y200" s="586"/>
      <c r="Z200" s="586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7"/>
    </row>
    <row r="201" spans="2:43" x14ac:dyDescent="0.3">
      <c r="B201" s="108" t="s">
        <v>314</v>
      </c>
      <c r="C201" s="27"/>
      <c r="D201" s="593">
        <f t="shared" ref="D201:AQ201" si="86">SUM(D$185:D$191)</f>
        <v>0</v>
      </c>
      <c r="E201" s="593">
        <f t="shared" si="86"/>
        <v>0</v>
      </c>
      <c r="F201" s="593">
        <f t="shared" si="86"/>
        <v>0</v>
      </c>
      <c r="G201" s="593">
        <f t="shared" si="86"/>
        <v>0</v>
      </c>
      <c r="H201" s="593">
        <f t="shared" si="86"/>
        <v>0</v>
      </c>
      <c r="I201" s="593">
        <f t="shared" si="86"/>
        <v>0</v>
      </c>
      <c r="J201" s="593">
        <f t="shared" si="86"/>
        <v>0</v>
      </c>
      <c r="K201" s="593">
        <f t="shared" si="86"/>
        <v>0</v>
      </c>
      <c r="L201" s="593">
        <f t="shared" si="86"/>
        <v>0</v>
      </c>
      <c r="M201" s="593">
        <f t="shared" si="86"/>
        <v>0</v>
      </c>
      <c r="N201" s="593">
        <f t="shared" si="86"/>
        <v>0</v>
      </c>
      <c r="O201" s="593">
        <f t="shared" si="86"/>
        <v>0</v>
      </c>
      <c r="P201" s="593">
        <f t="shared" si="86"/>
        <v>0</v>
      </c>
      <c r="Q201" s="593">
        <f t="shared" si="86"/>
        <v>0</v>
      </c>
      <c r="R201" s="593">
        <f t="shared" si="86"/>
        <v>0</v>
      </c>
      <c r="S201" s="593">
        <f t="shared" si="86"/>
        <v>0</v>
      </c>
      <c r="T201" s="593">
        <f t="shared" si="86"/>
        <v>0</v>
      </c>
      <c r="U201" s="593">
        <f t="shared" si="86"/>
        <v>0</v>
      </c>
      <c r="V201" s="593">
        <f t="shared" si="86"/>
        <v>0</v>
      </c>
      <c r="W201" s="593">
        <f t="shared" si="86"/>
        <v>0</v>
      </c>
      <c r="X201" s="593">
        <f t="shared" si="86"/>
        <v>0</v>
      </c>
      <c r="Y201" s="593">
        <f t="shared" si="86"/>
        <v>0</v>
      </c>
      <c r="Z201" s="593">
        <f t="shared" si="86"/>
        <v>0</v>
      </c>
      <c r="AA201" s="593">
        <f t="shared" si="86"/>
        <v>0</v>
      </c>
      <c r="AB201" s="593">
        <f t="shared" si="86"/>
        <v>0</v>
      </c>
      <c r="AC201" s="593">
        <f t="shared" si="86"/>
        <v>0</v>
      </c>
      <c r="AD201" s="593">
        <f t="shared" si="86"/>
        <v>0</v>
      </c>
      <c r="AE201" s="593">
        <f t="shared" si="86"/>
        <v>0</v>
      </c>
      <c r="AF201" s="593">
        <f t="shared" si="86"/>
        <v>0</v>
      </c>
      <c r="AG201" s="593">
        <f t="shared" si="86"/>
        <v>0</v>
      </c>
      <c r="AH201" s="593">
        <f t="shared" si="86"/>
        <v>0</v>
      </c>
      <c r="AI201" s="593">
        <f t="shared" si="86"/>
        <v>0</v>
      </c>
      <c r="AJ201" s="593">
        <f t="shared" si="86"/>
        <v>0</v>
      </c>
      <c r="AK201" s="593">
        <f t="shared" si="86"/>
        <v>0</v>
      </c>
      <c r="AL201" s="593">
        <f t="shared" si="86"/>
        <v>0</v>
      </c>
      <c r="AM201" s="593">
        <f t="shared" si="86"/>
        <v>0</v>
      </c>
      <c r="AN201" s="593">
        <f t="shared" si="86"/>
        <v>0</v>
      </c>
      <c r="AO201" s="593">
        <f t="shared" si="86"/>
        <v>0</v>
      </c>
      <c r="AP201" s="593">
        <f t="shared" si="86"/>
        <v>0</v>
      </c>
      <c r="AQ201" s="594">
        <f t="shared" si="86"/>
        <v>0</v>
      </c>
    </row>
  </sheetData>
  <pageMargins left="0.25" right="0.25" top="0.25" bottom="0.25" header="0.25" footer="0.25"/>
  <pageSetup scale="20" orientation="landscape" r:id="rId1"/>
  <headerFooter alignWithMargins="0">
    <oddFooter>&amp;R&amp;"Arial,Bold Italic"CONFIDENTIAL</oddFooter>
  </headerFooter>
  <colBreaks count="1" manualBreakCount="1">
    <brk id="14" min="2" max="10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F5F7-2026-47F1-AA08-7B970C5904E7}">
  <sheetPr>
    <tabColor theme="0" tint="-0.34998626667073579"/>
  </sheetPr>
  <dimension ref="B2:Q31"/>
  <sheetViews>
    <sheetView workbookViewId="0"/>
  </sheetViews>
  <sheetFormatPr defaultColWidth="8.88671875" defaultRowHeight="14.4" x14ac:dyDescent="0.3"/>
  <cols>
    <col min="1" max="1" width="8.88671875" style="19"/>
    <col min="2" max="2" width="11.5546875" style="19" bestFit="1" customWidth="1"/>
    <col min="3" max="3" width="12.5546875" style="19" customWidth="1"/>
    <col min="4" max="4" width="24.109375" style="19" bestFit="1" customWidth="1"/>
    <col min="5" max="5" width="32.6640625" style="19" customWidth="1"/>
    <col min="6" max="6" width="45.109375" style="19" customWidth="1"/>
    <col min="7" max="7" width="46.6640625" style="19" bestFit="1" customWidth="1"/>
    <col min="8" max="8" width="25" style="19" customWidth="1"/>
    <col min="9" max="9" width="63.33203125" style="19" customWidth="1"/>
    <col min="10" max="10" width="9.6640625" style="19" bestFit="1" customWidth="1"/>
    <col min="11" max="12" width="12.33203125" style="19" customWidth="1"/>
    <col min="13" max="13" width="12" style="19" customWidth="1"/>
    <col min="14" max="14" width="43.33203125" style="19" bestFit="1" customWidth="1"/>
    <col min="15" max="19" width="26.44140625" style="19" customWidth="1"/>
    <col min="20" max="16384" width="8.88671875" style="19"/>
  </cols>
  <sheetData>
    <row r="2" spans="2:17" ht="28.8" x14ac:dyDescent="0.3">
      <c r="B2" s="599" t="s">
        <v>315</v>
      </c>
      <c r="C2" s="599" t="s">
        <v>67</v>
      </c>
      <c r="D2" s="599" t="s">
        <v>316</v>
      </c>
      <c r="E2" s="599" t="s">
        <v>317</v>
      </c>
      <c r="F2" s="599" t="s">
        <v>318</v>
      </c>
      <c r="G2" s="599" t="s">
        <v>319</v>
      </c>
      <c r="H2" s="599" t="s">
        <v>320</v>
      </c>
      <c r="I2" s="599" t="s">
        <v>321</v>
      </c>
      <c r="J2" s="599" t="s">
        <v>322</v>
      </c>
      <c r="K2" s="599" t="s">
        <v>323</v>
      </c>
      <c r="L2" s="599" t="s">
        <v>324</v>
      </c>
      <c r="M2" s="599" t="s">
        <v>325</v>
      </c>
      <c r="N2" s="599" t="s">
        <v>326</v>
      </c>
      <c r="O2" s="599" t="s">
        <v>327</v>
      </c>
      <c r="P2" s="599" t="s">
        <v>328</v>
      </c>
      <c r="Q2" s="599" t="s">
        <v>329</v>
      </c>
    </row>
    <row r="3" spans="2:17" s="597" customFormat="1" x14ac:dyDescent="0.3">
      <c r="B3" s="624">
        <v>7759.5843000000004</v>
      </c>
      <c r="C3" s="597" t="s">
        <v>441</v>
      </c>
      <c r="D3" s="597" t="s">
        <v>442</v>
      </c>
      <c r="F3" s="597" t="s">
        <v>437</v>
      </c>
      <c r="I3" s="597" t="s">
        <v>469</v>
      </c>
      <c r="J3" s="598"/>
      <c r="K3" s="43"/>
      <c r="N3"/>
      <c r="O3" s="619"/>
      <c r="P3" s="620"/>
      <c r="Q3" s="621"/>
    </row>
    <row r="4" spans="2:17" s="597" customFormat="1" x14ac:dyDescent="0.3">
      <c r="B4" s="624">
        <v>93431.000899999999</v>
      </c>
      <c r="C4" s="597" t="s">
        <v>441</v>
      </c>
      <c r="D4" s="597" t="s">
        <v>443</v>
      </c>
      <c r="F4" s="597" t="s">
        <v>438</v>
      </c>
      <c r="I4" s="597" t="s">
        <v>469</v>
      </c>
      <c r="J4" s="598"/>
      <c r="K4" s="43"/>
      <c r="N4"/>
      <c r="O4" s="619"/>
      <c r="P4" s="620"/>
      <c r="Q4" s="621"/>
    </row>
    <row r="5" spans="2:17" s="597" customFormat="1" x14ac:dyDescent="0.3">
      <c r="B5" s="624">
        <v>40673.3298</v>
      </c>
      <c r="C5" s="597" t="s">
        <v>441</v>
      </c>
      <c r="D5" s="597" t="s">
        <v>444</v>
      </c>
      <c r="F5" s="597" t="s">
        <v>439</v>
      </c>
      <c r="I5" s="597" t="s">
        <v>469</v>
      </c>
      <c r="J5" s="598"/>
      <c r="K5" s="43"/>
      <c r="N5"/>
      <c r="O5" s="619"/>
      <c r="P5" s="620"/>
      <c r="Q5" s="621"/>
    </row>
    <row r="6" spans="2:17" s="597" customFormat="1" x14ac:dyDescent="0.3">
      <c r="B6" s="624">
        <v>5299.7250000000004</v>
      </c>
      <c r="C6" s="597" t="s">
        <v>441</v>
      </c>
      <c r="D6" s="597" t="s">
        <v>445</v>
      </c>
      <c r="F6" s="597" t="s">
        <v>440</v>
      </c>
      <c r="I6" s="597" t="s">
        <v>469</v>
      </c>
      <c r="J6" s="598"/>
      <c r="K6" s="43"/>
      <c r="N6"/>
      <c r="O6" s="619"/>
      <c r="P6" s="620"/>
      <c r="Q6" s="621"/>
    </row>
    <row r="7" spans="2:17" s="597" customFormat="1" x14ac:dyDescent="0.3">
      <c r="B7" s="625">
        <v>834049.04299999995</v>
      </c>
      <c r="C7" s="597" t="s">
        <v>450</v>
      </c>
      <c r="D7" s="597" t="s">
        <v>448</v>
      </c>
      <c r="F7" s="597" t="s">
        <v>446</v>
      </c>
      <c r="I7" s="597" t="s">
        <v>469</v>
      </c>
      <c r="J7" s="598"/>
      <c r="K7" s="43"/>
      <c r="N7"/>
      <c r="O7" s="619"/>
      <c r="P7" s="620"/>
      <c r="Q7" s="621"/>
    </row>
    <row r="8" spans="2:17" s="597" customFormat="1" x14ac:dyDescent="0.3">
      <c r="B8" s="625">
        <v>602590.94469999999</v>
      </c>
      <c r="C8" s="597" t="s">
        <v>450</v>
      </c>
      <c r="D8" s="597" t="s">
        <v>449</v>
      </c>
      <c r="F8" s="597" t="s">
        <v>447</v>
      </c>
      <c r="I8" s="597" t="s">
        <v>469</v>
      </c>
      <c r="J8" s="598"/>
      <c r="K8" s="43"/>
      <c r="N8"/>
      <c r="O8" s="619"/>
      <c r="P8" s="620"/>
      <c r="Q8" s="621"/>
    </row>
    <row r="9" spans="2:17" x14ac:dyDescent="0.3">
      <c r="B9" s="45">
        <v>0.21</v>
      </c>
      <c r="C9" s="19" t="s">
        <v>75</v>
      </c>
      <c r="D9" s="19" t="s">
        <v>428</v>
      </c>
      <c r="F9" s="19" t="s">
        <v>171</v>
      </c>
      <c r="G9" s="19" t="s">
        <v>168</v>
      </c>
      <c r="H9" s="19" t="s">
        <v>334</v>
      </c>
      <c r="I9" s="597" t="s">
        <v>427</v>
      </c>
      <c r="J9" s="598">
        <v>44641</v>
      </c>
      <c r="L9" s="597" t="s">
        <v>331</v>
      </c>
      <c r="M9" s="597" t="s">
        <v>332</v>
      </c>
      <c r="N9" t="s">
        <v>411</v>
      </c>
      <c r="O9" s="619"/>
      <c r="P9" s="621" t="s">
        <v>412</v>
      </c>
      <c r="Q9" s="621" t="s">
        <v>413</v>
      </c>
    </row>
    <row r="10" spans="2:17" x14ac:dyDescent="0.3">
      <c r="B10" s="622">
        <v>8.8400000000000006E-2</v>
      </c>
      <c r="C10" s="19" t="s">
        <v>75</v>
      </c>
      <c r="D10" s="19" t="s">
        <v>429</v>
      </c>
      <c r="F10" s="19" t="s">
        <v>174</v>
      </c>
      <c r="G10" s="19" t="s">
        <v>168</v>
      </c>
      <c r="H10" s="19" t="s">
        <v>334</v>
      </c>
      <c r="I10" s="597" t="s">
        <v>427</v>
      </c>
      <c r="J10" s="598">
        <v>44641</v>
      </c>
      <c r="L10" s="597" t="s">
        <v>331</v>
      </c>
      <c r="M10" s="597" t="s">
        <v>332</v>
      </c>
      <c r="N10" t="s">
        <v>411</v>
      </c>
      <c r="O10" s="619"/>
      <c r="P10" s="621" t="s">
        <v>412</v>
      </c>
      <c r="Q10" s="621" t="s">
        <v>413</v>
      </c>
    </row>
    <row r="11" spans="2:17" x14ac:dyDescent="0.3">
      <c r="B11" s="630">
        <v>0.02</v>
      </c>
      <c r="C11" s="116"/>
      <c r="D11" s="116" t="s">
        <v>368</v>
      </c>
      <c r="F11" s="19" t="s">
        <v>463</v>
      </c>
      <c r="H11" s="19" t="s">
        <v>464</v>
      </c>
      <c r="I11" s="597"/>
      <c r="J11" s="598"/>
      <c r="L11" s="597"/>
      <c r="M11" s="597"/>
      <c r="N11" t="s">
        <v>465</v>
      </c>
      <c r="O11" s="619"/>
      <c r="P11" s="621" t="s">
        <v>412</v>
      </c>
      <c r="Q11" s="621" t="s">
        <v>413</v>
      </c>
    </row>
    <row r="12" spans="2:17" x14ac:dyDescent="0.3">
      <c r="B12" s="630">
        <v>7.5233333333333333E-2</v>
      </c>
      <c r="C12" s="116"/>
      <c r="D12" s="116" t="s">
        <v>360</v>
      </c>
      <c r="E12" s="19" t="s">
        <v>462</v>
      </c>
      <c r="I12" s="597"/>
      <c r="J12" s="598"/>
      <c r="L12" s="597"/>
      <c r="M12" s="597"/>
      <c r="N12"/>
      <c r="O12" s="619"/>
      <c r="P12" s="620"/>
      <c r="Q12" s="621"/>
    </row>
    <row r="13" spans="2:17" x14ac:dyDescent="0.3">
      <c r="B13" s="623">
        <v>2018</v>
      </c>
      <c r="D13" s="19" t="s">
        <v>32</v>
      </c>
      <c r="F13" s="597" t="s">
        <v>461</v>
      </c>
      <c r="G13" s="597" t="s">
        <v>460</v>
      </c>
      <c r="H13" s="597" t="s">
        <v>330</v>
      </c>
      <c r="I13" s="597" t="s">
        <v>427</v>
      </c>
      <c r="J13" s="598">
        <v>44641</v>
      </c>
      <c r="K13" s="43"/>
      <c r="L13" s="597" t="s">
        <v>331</v>
      </c>
      <c r="M13" s="597" t="s">
        <v>332</v>
      </c>
      <c r="N13" t="s">
        <v>411</v>
      </c>
      <c r="O13" s="619"/>
      <c r="P13" s="621" t="s">
        <v>412</v>
      </c>
      <c r="Q13" s="621" t="s">
        <v>413</v>
      </c>
    </row>
    <row r="14" spans="2:17" x14ac:dyDescent="0.3">
      <c r="B14" s="623"/>
      <c r="D14" s="19" t="s">
        <v>430</v>
      </c>
      <c r="E14" s="19" t="s">
        <v>434</v>
      </c>
      <c r="F14" s="19" t="s">
        <v>436</v>
      </c>
      <c r="H14" s="19" t="s">
        <v>433</v>
      </c>
      <c r="I14" s="597" t="s">
        <v>431</v>
      </c>
      <c r="J14" s="598">
        <v>44641</v>
      </c>
      <c r="L14" s="597"/>
      <c r="M14" s="597"/>
      <c r="N14"/>
      <c r="O14" s="619"/>
      <c r="P14" s="621" t="s">
        <v>412</v>
      </c>
      <c r="Q14" s="621" t="s">
        <v>413</v>
      </c>
    </row>
    <row r="15" spans="2:17" x14ac:dyDescent="0.3">
      <c r="B15" s="623"/>
      <c r="D15" s="19" t="s">
        <v>430</v>
      </c>
      <c r="E15" s="19" t="s">
        <v>434</v>
      </c>
      <c r="F15" s="19" t="s">
        <v>435</v>
      </c>
      <c r="H15" s="19" t="s">
        <v>432</v>
      </c>
      <c r="I15" s="597" t="s">
        <v>431</v>
      </c>
      <c r="J15" s="598">
        <v>44641</v>
      </c>
      <c r="L15" s="597"/>
      <c r="M15" s="597"/>
      <c r="N15"/>
      <c r="O15" s="619"/>
      <c r="P15" s="621" t="s">
        <v>412</v>
      </c>
      <c r="Q15" s="621" t="s">
        <v>413</v>
      </c>
    </row>
    <row r="16" spans="2:17" x14ac:dyDescent="0.3">
      <c r="B16" s="19">
        <v>10.84</v>
      </c>
      <c r="C16" s="19" t="s">
        <v>335</v>
      </c>
      <c r="D16" s="19" t="s">
        <v>415</v>
      </c>
      <c r="F16" s="19" t="s">
        <v>54</v>
      </c>
      <c r="G16" s="49" t="s">
        <v>423</v>
      </c>
      <c r="H16" s="597" t="s">
        <v>336</v>
      </c>
      <c r="I16" s="597" t="s">
        <v>427</v>
      </c>
      <c r="J16" s="598">
        <v>44641</v>
      </c>
      <c r="K16" s="43"/>
      <c r="L16" s="597" t="s">
        <v>331</v>
      </c>
      <c r="M16" s="597" t="s">
        <v>332</v>
      </c>
      <c r="N16" t="s">
        <v>411</v>
      </c>
      <c r="O16" s="619"/>
      <c r="P16" s="621" t="s">
        <v>412</v>
      </c>
      <c r="Q16" s="621" t="s">
        <v>413</v>
      </c>
    </row>
    <row r="17" spans="2:17" x14ac:dyDescent="0.3">
      <c r="B17" s="19">
        <v>25.41</v>
      </c>
      <c r="C17" s="19" t="s">
        <v>414</v>
      </c>
      <c r="D17" s="19" t="s">
        <v>416</v>
      </c>
      <c r="F17" s="19" t="s">
        <v>55</v>
      </c>
      <c r="G17" s="49" t="s">
        <v>423</v>
      </c>
      <c r="H17" s="597" t="s">
        <v>336</v>
      </c>
      <c r="I17" s="597" t="s">
        <v>427</v>
      </c>
      <c r="J17" s="598">
        <v>44641</v>
      </c>
      <c r="K17" s="43"/>
      <c r="L17" s="597" t="s">
        <v>331</v>
      </c>
      <c r="M17" s="597" t="s">
        <v>332</v>
      </c>
      <c r="N17" t="s">
        <v>411</v>
      </c>
      <c r="O17" s="619"/>
      <c r="P17" s="621" t="s">
        <v>412</v>
      </c>
      <c r="Q17" s="621" t="s">
        <v>413</v>
      </c>
    </row>
    <row r="18" spans="2:17" x14ac:dyDescent="0.3">
      <c r="B18" s="19">
        <v>7.69</v>
      </c>
      <c r="C18" s="19" t="s">
        <v>335</v>
      </c>
      <c r="D18" s="19" t="s">
        <v>417</v>
      </c>
      <c r="F18" s="19" t="s">
        <v>54</v>
      </c>
      <c r="G18" s="49" t="s">
        <v>424</v>
      </c>
      <c r="H18" s="597" t="s">
        <v>336</v>
      </c>
      <c r="I18" s="597" t="s">
        <v>427</v>
      </c>
      <c r="J18" s="598">
        <v>44641</v>
      </c>
      <c r="K18" s="43"/>
      <c r="L18" s="597" t="s">
        <v>331</v>
      </c>
      <c r="M18" s="597" t="s">
        <v>332</v>
      </c>
      <c r="N18" t="s">
        <v>411</v>
      </c>
      <c r="O18" s="619"/>
      <c r="P18" s="621" t="s">
        <v>412</v>
      </c>
      <c r="Q18" s="621" t="s">
        <v>413</v>
      </c>
    </row>
    <row r="19" spans="2:17" x14ac:dyDescent="0.3">
      <c r="B19" s="19">
        <v>0</v>
      </c>
      <c r="C19" s="19" t="s">
        <v>414</v>
      </c>
      <c r="D19" s="19" t="s">
        <v>418</v>
      </c>
      <c r="F19" s="19" t="s">
        <v>55</v>
      </c>
      <c r="G19" s="49" t="s">
        <v>424</v>
      </c>
      <c r="H19" s="597" t="s">
        <v>336</v>
      </c>
      <c r="I19" s="597" t="s">
        <v>427</v>
      </c>
      <c r="J19" s="598">
        <v>44641</v>
      </c>
      <c r="K19" s="43"/>
      <c r="L19" s="597" t="s">
        <v>331</v>
      </c>
      <c r="M19" s="597" t="s">
        <v>332</v>
      </c>
      <c r="N19" t="s">
        <v>411</v>
      </c>
      <c r="O19" s="619"/>
      <c r="P19" s="621" t="s">
        <v>412</v>
      </c>
      <c r="Q19" s="621" t="s">
        <v>413</v>
      </c>
    </row>
    <row r="20" spans="2:17" x14ac:dyDescent="0.3">
      <c r="B20" s="19">
        <v>0.66</v>
      </c>
      <c r="C20" s="19" t="s">
        <v>335</v>
      </c>
      <c r="D20" s="19" t="s">
        <v>419</v>
      </c>
      <c r="F20" s="19" t="s">
        <v>54</v>
      </c>
      <c r="G20" s="49" t="s">
        <v>425</v>
      </c>
      <c r="H20" s="597" t="s">
        <v>336</v>
      </c>
      <c r="I20" s="597" t="s">
        <v>427</v>
      </c>
      <c r="J20" s="598">
        <v>44641</v>
      </c>
      <c r="K20" s="43"/>
      <c r="L20" s="597" t="s">
        <v>331</v>
      </c>
      <c r="M20" s="597" t="s">
        <v>332</v>
      </c>
      <c r="N20" t="s">
        <v>411</v>
      </c>
      <c r="O20" s="619"/>
      <c r="P20" s="621" t="s">
        <v>412</v>
      </c>
      <c r="Q20" s="621" t="s">
        <v>413</v>
      </c>
    </row>
    <row r="21" spans="2:17" x14ac:dyDescent="0.3">
      <c r="B21" s="19">
        <v>4.2699999999999996</v>
      </c>
      <c r="C21" s="19" t="s">
        <v>414</v>
      </c>
      <c r="D21" s="19" t="s">
        <v>420</v>
      </c>
      <c r="F21" s="19" t="s">
        <v>55</v>
      </c>
      <c r="G21" s="49" t="s">
        <v>425</v>
      </c>
      <c r="H21" s="597" t="s">
        <v>336</v>
      </c>
      <c r="I21" s="597" t="s">
        <v>427</v>
      </c>
      <c r="J21" s="598">
        <v>44641</v>
      </c>
      <c r="K21" s="43"/>
      <c r="L21" s="597" t="s">
        <v>331</v>
      </c>
      <c r="M21" s="597" t="s">
        <v>332</v>
      </c>
      <c r="N21" t="s">
        <v>411</v>
      </c>
      <c r="O21" s="619"/>
      <c r="P21" s="621" t="s">
        <v>412</v>
      </c>
      <c r="Q21" s="621" t="s">
        <v>413</v>
      </c>
    </row>
    <row r="22" spans="2:17" x14ac:dyDescent="0.3">
      <c r="B22" s="19">
        <v>11.18</v>
      </c>
      <c r="C22" s="19" t="s">
        <v>335</v>
      </c>
      <c r="D22" s="19" t="s">
        <v>421</v>
      </c>
      <c r="F22" s="19" t="s">
        <v>54</v>
      </c>
      <c r="G22" s="49" t="s">
        <v>426</v>
      </c>
      <c r="H22" s="597" t="s">
        <v>336</v>
      </c>
      <c r="I22" s="597" t="s">
        <v>427</v>
      </c>
      <c r="J22" s="598">
        <v>44641</v>
      </c>
      <c r="K22" s="43"/>
      <c r="L22" s="597" t="s">
        <v>331</v>
      </c>
      <c r="M22" s="597" t="s">
        <v>332</v>
      </c>
      <c r="N22" t="s">
        <v>411</v>
      </c>
      <c r="O22" s="619"/>
      <c r="P22" s="621" t="s">
        <v>412</v>
      </c>
      <c r="Q22" s="621" t="s">
        <v>413</v>
      </c>
    </row>
    <row r="23" spans="2:17" x14ac:dyDescent="0.3">
      <c r="B23" s="19">
        <v>0</v>
      </c>
      <c r="C23" s="19" t="s">
        <v>414</v>
      </c>
      <c r="D23" s="19" t="s">
        <v>422</v>
      </c>
      <c r="F23" s="19" t="s">
        <v>55</v>
      </c>
      <c r="G23" s="49" t="s">
        <v>426</v>
      </c>
      <c r="H23" s="597" t="s">
        <v>336</v>
      </c>
      <c r="I23" s="597" t="s">
        <v>427</v>
      </c>
      <c r="J23" s="598">
        <v>44641</v>
      </c>
      <c r="K23" s="43"/>
      <c r="L23" s="597" t="s">
        <v>331</v>
      </c>
      <c r="M23" s="597" t="s">
        <v>332</v>
      </c>
      <c r="N23" t="s">
        <v>411</v>
      </c>
      <c r="O23" s="619"/>
      <c r="P23" s="621" t="s">
        <v>412</v>
      </c>
      <c r="Q23" s="621" t="s">
        <v>413</v>
      </c>
    </row>
    <row r="24" spans="2:17" ht="28.8" x14ac:dyDescent="0.3">
      <c r="D24" s="19" t="s">
        <v>357</v>
      </c>
      <c r="E24" s="19" t="s">
        <v>451</v>
      </c>
      <c r="F24" s="597"/>
      <c r="G24" s="597" t="s">
        <v>459</v>
      </c>
      <c r="H24" s="597" t="s">
        <v>330</v>
      </c>
      <c r="I24" s="597" t="s">
        <v>427</v>
      </c>
      <c r="J24" s="598">
        <v>44641</v>
      </c>
      <c r="K24" s="43"/>
      <c r="L24" s="597" t="s">
        <v>331</v>
      </c>
      <c r="M24" s="597" t="s">
        <v>332</v>
      </c>
      <c r="N24" t="s">
        <v>411</v>
      </c>
      <c r="O24" s="619"/>
      <c r="P24" s="621" t="s">
        <v>412</v>
      </c>
      <c r="Q24" s="621" t="s">
        <v>413</v>
      </c>
    </row>
    <row r="25" spans="2:17" x14ac:dyDescent="0.3">
      <c r="B25" s="288">
        <v>0.02</v>
      </c>
      <c r="C25" s="19" t="s">
        <v>75</v>
      </c>
      <c r="D25" s="19" t="s">
        <v>452</v>
      </c>
      <c r="F25" s="19" t="s">
        <v>176</v>
      </c>
      <c r="G25" s="49" t="s">
        <v>168</v>
      </c>
      <c r="H25" s="597" t="s">
        <v>334</v>
      </c>
      <c r="I25" s="597" t="s">
        <v>427</v>
      </c>
      <c r="J25" s="598">
        <v>44641</v>
      </c>
      <c r="K25" s="43"/>
      <c r="L25" s="597" t="s">
        <v>331</v>
      </c>
      <c r="M25" s="597" t="s">
        <v>332</v>
      </c>
      <c r="N25" t="s">
        <v>411</v>
      </c>
      <c r="O25" s="619"/>
      <c r="P25" s="621" t="s">
        <v>412</v>
      </c>
      <c r="Q25" s="621" t="s">
        <v>413</v>
      </c>
    </row>
    <row r="26" spans="2:17" x14ac:dyDescent="0.3">
      <c r="B26" s="288">
        <v>0.5</v>
      </c>
      <c r="C26" s="19" t="s">
        <v>75</v>
      </c>
      <c r="D26" s="19" t="s">
        <v>453</v>
      </c>
      <c r="F26" s="19" t="s">
        <v>192</v>
      </c>
      <c r="G26" s="49" t="s">
        <v>168</v>
      </c>
      <c r="H26" s="597" t="s">
        <v>334</v>
      </c>
      <c r="I26" s="597" t="s">
        <v>427</v>
      </c>
      <c r="J26" s="598">
        <v>44641</v>
      </c>
      <c r="K26" s="43"/>
      <c r="L26" s="597" t="s">
        <v>331</v>
      </c>
      <c r="M26" s="597" t="s">
        <v>332</v>
      </c>
      <c r="N26" t="s">
        <v>411</v>
      </c>
      <c r="O26" s="619"/>
      <c r="P26" s="621" t="s">
        <v>412</v>
      </c>
      <c r="Q26" s="621" t="s">
        <v>413</v>
      </c>
    </row>
    <row r="27" spans="2:17" x14ac:dyDescent="0.3">
      <c r="B27" s="19" t="b">
        <v>0</v>
      </c>
      <c r="D27" s="19" t="s">
        <v>454</v>
      </c>
      <c r="F27" s="19" t="s">
        <v>195</v>
      </c>
      <c r="G27" s="49" t="s">
        <v>168</v>
      </c>
      <c r="H27" s="597" t="s">
        <v>334</v>
      </c>
      <c r="I27" s="597" t="s">
        <v>427</v>
      </c>
      <c r="J27" s="598">
        <v>44641</v>
      </c>
      <c r="K27" s="43"/>
      <c r="L27" s="597" t="s">
        <v>331</v>
      </c>
      <c r="M27" s="597" t="s">
        <v>332</v>
      </c>
      <c r="N27" t="s">
        <v>411</v>
      </c>
      <c r="O27" s="619"/>
      <c r="P27" s="621" t="s">
        <v>412</v>
      </c>
      <c r="Q27" s="621" t="s">
        <v>413</v>
      </c>
    </row>
    <row r="28" spans="2:17" x14ac:dyDescent="0.3">
      <c r="B28" s="45">
        <v>1</v>
      </c>
      <c r="C28" s="19" t="s">
        <v>75</v>
      </c>
      <c r="D28" s="19" t="s">
        <v>455</v>
      </c>
      <c r="F28" s="19" t="s">
        <v>197</v>
      </c>
      <c r="G28" s="49" t="s">
        <v>168</v>
      </c>
      <c r="H28" s="597" t="s">
        <v>334</v>
      </c>
      <c r="I28" s="597" t="s">
        <v>427</v>
      </c>
      <c r="J28" s="598">
        <v>44641</v>
      </c>
      <c r="K28" s="43"/>
      <c r="L28" s="597" t="s">
        <v>331</v>
      </c>
      <c r="M28" s="597" t="s">
        <v>332</v>
      </c>
      <c r="N28" t="s">
        <v>411</v>
      </c>
      <c r="O28" s="619"/>
      <c r="P28" s="621" t="s">
        <v>412</v>
      </c>
      <c r="Q28" s="621" t="s">
        <v>413</v>
      </c>
    </row>
    <row r="29" spans="2:17" x14ac:dyDescent="0.3">
      <c r="B29" s="19" t="b">
        <v>0</v>
      </c>
      <c r="D29" s="19" t="s">
        <v>456</v>
      </c>
      <c r="F29" s="19" t="s">
        <v>200</v>
      </c>
      <c r="G29" s="49" t="s">
        <v>168</v>
      </c>
      <c r="H29" s="597" t="s">
        <v>334</v>
      </c>
      <c r="I29" s="597" t="s">
        <v>427</v>
      </c>
      <c r="J29" s="598">
        <v>44641</v>
      </c>
      <c r="K29" s="43"/>
      <c r="L29" s="597" t="s">
        <v>331</v>
      </c>
      <c r="M29" s="597" t="s">
        <v>332</v>
      </c>
      <c r="N29" t="s">
        <v>411</v>
      </c>
      <c r="O29" s="619"/>
      <c r="P29" s="621" t="s">
        <v>412</v>
      </c>
      <c r="Q29" s="621" t="s">
        <v>413</v>
      </c>
    </row>
    <row r="30" spans="2:17" x14ac:dyDescent="0.3">
      <c r="B30" s="45">
        <v>0.02</v>
      </c>
      <c r="D30" s="19" t="s">
        <v>457</v>
      </c>
      <c r="F30" s="19" t="s">
        <v>117</v>
      </c>
      <c r="G30" s="49" t="s">
        <v>168</v>
      </c>
      <c r="H30" s="597" t="s">
        <v>334</v>
      </c>
      <c r="I30" s="597" t="s">
        <v>427</v>
      </c>
      <c r="J30" s="598">
        <v>44641</v>
      </c>
      <c r="K30" s="43"/>
      <c r="L30" s="597" t="s">
        <v>331</v>
      </c>
      <c r="M30" s="597" t="s">
        <v>332</v>
      </c>
      <c r="N30" t="s">
        <v>411</v>
      </c>
      <c r="O30" s="619"/>
      <c r="P30" s="621" t="s">
        <v>412</v>
      </c>
      <c r="Q30" s="621" t="s">
        <v>413</v>
      </c>
    </row>
    <row r="31" spans="2:17" x14ac:dyDescent="0.3">
      <c r="B31" s="19" t="b">
        <v>1</v>
      </c>
      <c r="D31" s="19" t="s">
        <v>458</v>
      </c>
      <c r="F31" s="19" t="s">
        <v>214</v>
      </c>
      <c r="G31" s="49" t="s">
        <v>168</v>
      </c>
      <c r="H31" s="597" t="s">
        <v>334</v>
      </c>
      <c r="I31" s="597" t="s">
        <v>427</v>
      </c>
      <c r="J31" s="598">
        <v>44641</v>
      </c>
      <c r="K31" s="43"/>
      <c r="L31" s="597" t="s">
        <v>331</v>
      </c>
      <c r="M31" s="597" t="s">
        <v>332</v>
      </c>
      <c r="N31" t="s">
        <v>411</v>
      </c>
      <c r="O31" s="619"/>
      <c r="P31" s="621" t="s">
        <v>412</v>
      </c>
      <c r="Q31" s="621" t="s">
        <v>413</v>
      </c>
    </row>
  </sheetData>
  <phoneticPr fontId="21" type="noConversion"/>
  <hyperlinks>
    <hyperlink ref="Q16" r:id="rId1" xr:uid="{04006994-3AE0-485D-8C7B-3AB0B8510E05}"/>
    <hyperlink ref="Q17" r:id="rId2" xr:uid="{E5338DD3-4429-4327-9B2B-9FA280268064}"/>
    <hyperlink ref="Q18" r:id="rId3" xr:uid="{6718FE21-1FDE-40B5-AF12-4BC50C8AFDDF}"/>
    <hyperlink ref="Q19" r:id="rId4" xr:uid="{0BFD23D6-E0F6-4D4B-BA9C-27894F256F7A}"/>
    <hyperlink ref="Q20" r:id="rId5" xr:uid="{DBA0C14D-4999-4D62-8AA2-F9FAD5F82FC7}"/>
    <hyperlink ref="Q21" r:id="rId6" xr:uid="{B782DF30-0634-4AD0-9D0C-ED9558750197}"/>
    <hyperlink ref="Q22" r:id="rId7" xr:uid="{5FF03049-2C70-46C2-A2C6-52AEE42B9627}"/>
    <hyperlink ref="Q23" r:id="rId8" xr:uid="{DC9F709E-8385-42DA-87C7-CD9E1BA223B6}"/>
    <hyperlink ref="Q10" r:id="rId9" xr:uid="{FACC2E53-911A-4803-8B7A-B7FC468641E3}"/>
    <hyperlink ref="Q9" r:id="rId10" xr:uid="{BFF942A1-7316-4F3B-97D2-EF7CEEC76784}"/>
    <hyperlink ref="Q25" r:id="rId11" xr:uid="{F3A5257A-BD8E-4A9F-8462-9F61E654485F}"/>
    <hyperlink ref="Q26" r:id="rId12" xr:uid="{35405BC3-EA1D-45D7-B7DF-3E63E3EF407E}"/>
    <hyperlink ref="Q27" r:id="rId13" xr:uid="{B1D5EF09-7BD3-41E9-97AE-8266B6D8BF8A}"/>
    <hyperlink ref="Q28" r:id="rId14" xr:uid="{E5EBE6F9-AA74-43FB-A11C-4C2E78D0D3AB}"/>
    <hyperlink ref="Q29" r:id="rId15" xr:uid="{E3B9F0B1-5D3F-4851-9CC5-9ED27A38E0CE}"/>
    <hyperlink ref="Q30" r:id="rId16" xr:uid="{F71866D4-7E8E-4DBB-985C-575E972E8CCC}"/>
    <hyperlink ref="Q31" r:id="rId17" xr:uid="{34EBDB2E-0605-42BD-BE85-2A5B5C00DC06}"/>
    <hyperlink ref="Q24" r:id="rId18" xr:uid="{FFD153B5-7F75-4725-80FF-266A72A46F57}"/>
    <hyperlink ref="Q13" r:id="rId19" xr:uid="{22350144-2AD3-408C-891D-F0BC321B9605}"/>
    <hyperlink ref="P16" r:id="rId20" xr:uid="{2A0BA755-215B-401B-B99B-1208C0798C6B}"/>
    <hyperlink ref="P17" r:id="rId21" xr:uid="{E6294492-A8CA-4FB5-9844-A0C31501E66E}"/>
    <hyperlink ref="P18" r:id="rId22" xr:uid="{78F9C1A7-FD2D-4C6C-9480-49424D5CF766}"/>
    <hyperlink ref="P19" r:id="rId23" xr:uid="{12C3EE60-0A1A-4705-8ABB-D4D3E6179780}"/>
    <hyperlink ref="P31" r:id="rId24" xr:uid="{BFFF9B5B-C48B-4238-A76D-8252081F34E6}"/>
    <hyperlink ref="P20" r:id="rId25" xr:uid="{9CEF5BE3-5A28-4732-9405-64B99E5A5A21}"/>
    <hyperlink ref="P21" r:id="rId26" xr:uid="{343B37A2-D729-435A-985F-1CFCF72EA6F8}"/>
    <hyperlink ref="P22" r:id="rId27" xr:uid="{610FC890-6CFD-4EAC-9876-9648E4D84E6E}"/>
    <hyperlink ref="P23" r:id="rId28" xr:uid="{6FE5EE22-85EF-477E-9A4F-8347487CD4D5}"/>
    <hyperlink ref="P24" r:id="rId29" xr:uid="{FD6DED69-36A4-402E-9237-C95587615BF8}"/>
    <hyperlink ref="P25" r:id="rId30" xr:uid="{696D3ABA-D95E-4D41-8A52-1387A1A52363}"/>
    <hyperlink ref="P26" r:id="rId31" xr:uid="{5D53A26D-E4EB-4C2C-AC73-E43BE2809477}"/>
    <hyperlink ref="P27" r:id="rId32" xr:uid="{FE27B9B6-1CE6-4CD8-9897-00205CAAED14}"/>
    <hyperlink ref="P28" r:id="rId33" xr:uid="{0B39B785-BA37-4C63-B7B8-7EF64BA97471}"/>
    <hyperlink ref="P29" r:id="rId34" xr:uid="{5652CBED-077D-4E50-AC75-6623D583581C}"/>
    <hyperlink ref="P30" r:id="rId35" xr:uid="{424557BD-FD6E-4682-BAC0-27A4B92F3629}"/>
    <hyperlink ref="P10" r:id="rId36" xr:uid="{68924555-490A-4900-BB26-2D14ECC9AB98}"/>
    <hyperlink ref="P9" r:id="rId37" xr:uid="{409B6E51-599C-4C02-899E-A4B655A9286D}"/>
    <hyperlink ref="P13" r:id="rId38" xr:uid="{8D3A86B9-759E-4D0E-B216-2FA10A3760F3}"/>
    <hyperlink ref="Q14" r:id="rId39" xr:uid="{60E33E44-C910-4D6E-A819-A658D6315E56}"/>
    <hyperlink ref="P14" r:id="rId40" xr:uid="{5946EA6A-41DB-42A4-B9A8-EDDB19D95419}"/>
    <hyperlink ref="Q15" r:id="rId41" xr:uid="{289E34FE-0CC6-4FB4-A27F-F965B1D3BE0F}"/>
    <hyperlink ref="P15" r:id="rId42" xr:uid="{C4401D76-3278-4622-A247-68004AEFC649}"/>
    <hyperlink ref="P11" r:id="rId43" xr:uid="{03F322E5-0160-4E11-83E3-41F7730BF15E}"/>
  </hyperlinks>
  <pageMargins left="0.7" right="0.7" top="0.75" bottom="0.75" header="0.3" footer="0.3"/>
  <pageSetup orientation="portrait"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7C52-085A-441C-A9BA-92C1F5C66BB9}">
  <sheetPr>
    <tabColor theme="0" tint="-0.34998626667073579"/>
  </sheetPr>
  <dimension ref="B2:F33"/>
  <sheetViews>
    <sheetView workbookViewId="0"/>
  </sheetViews>
  <sheetFormatPr defaultColWidth="8.88671875" defaultRowHeight="14.4" x14ac:dyDescent="0.3"/>
  <cols>
    <col min="2" max="2" width="17" customWidth="1"/>
    <col min="3" max="3" width="9.6640625" bestFit="1" customWidth="1"/>
    <col min="4" max="4" width="16.6640625" customWidth="1"/>
    <col min="5" max="5" width="21.88671875" customWidth="1"/>
    <col min="6" max="6" width="104.6640625" style="31" customWidth="1"/>
  </cols>
  <sheetData>
    <row r="2" spans="2:6" x14ac:dyDescent="0.3">
      <c r="B2" s="599" t="s">
        <v>410</v>
      </c>
      <c r="C2" s="599" t="s">
        <v>337</v>
      </c>
      <c r="D2" s="599" t="s">
        <v>338</v>
      </c>
      <c r="E2" s="599" t="s">
        <v>408</v>
      </c>
      <c r="F2" s="599" t="s">
        <v>409</v>
      </c>
    </row>
    <row r="3" spans="2:6" x14ac:dyDescent="0.3">
      <c r="B3">
        <v>2020</v>
      </c>
    </row>
    <row r="4" spans="2:6" x14ac:dyDescent="0.3">
      <c r="B4" t="s">
        <v>339</v>
      </c>
      <c r="C4" s="38">
        <v>43971</v>
      </c>
      <c r="D4" t="s">
        <v>340</v>
      </c>
      <c r="F4" s="31" t="s">
        <v>341</v>
      </c>
    </row>
    <row r="5" spans="2:6" x14ac:dyDescent="0.3">
      <c r="B5" t="s">
        <v>342</v>
      </c>
      <c r="C5" s="38">
        <v>44005</v>
      </c>
      <c r="D5" t="s">
        <v>20</v>
      </c>
      <c r="E5" t="s">
        <v>343</v>
      </c>
      <c r="F5" s="31" t="s">
        <v>344</v>
      </c>
    </row>
    <row r="6" spans="2:6" x14ac:dyDescent="0.3">
      <c r="E6" t="s">
        <v>345</v>
      </c>
      <c r="F6" s="31" t="s">
        <v>346</v>
      </c>
    </row>
    <row r="8" spans="2:6" x14ac:dyDescent="0.3">
      <c r="B8">
        <v>2021</v>
      </c>
    </row>
    <row r="9" spans="2:6" x14ac:dyDescent="0.3">
      <c r="B9" t="s">
        <v>347</v>
      </c>
      <c r="C9" s="38">
        <v>44306</v>
      </c>
      <c r="D9" t="s">
        <v>348</v>
      </c>
      <c r="E9" t="s">
        <v>349</v>
      </c>
      <c r="F9" s="31" t="s">
        <v>350</v>
      </c>
    </row>
    <row r="10" spans="2:6" x14ac:dyDescent="0.3">
      <c r="B10" t="s">
        <v>347</v>
      </c>
      <c r="C10" s="38">
        <v>44306</v>
      </c>
      <c r="D10" t="s">
        <v>348</v>
      </c>
      <c r="E10" t="s">
        <v>351</v>
      </c>
      <c r="F10" s="31" t="s">
        <v>352</v>
      </c>
    </row>
    <row r="11" spans="2:6" x14ac:dyDescent="0.3">
      <c r="B11" t="s">
        <v>347</v>
      </c>
      <c r="C11" s="38">
        <v>44306</v>
      </c>
      <c r="D11" t="s">
        <v>348</v>
      </c>
      <c r="E11" t="s">
        <v>353</v>
      </c>
      <c r="F11" s="31" t="s">
        <v>354</v>
      </c>
    </row>
    <row r="12" spans="2:6" x14ac:dyDescent="0.3">
      <c r="B12" t="s">
        <v>347</v>
      </c>
      <c r="C12" s="38">
        <v>44309</v>
      </c>
      <c r="D12" t="s">
        <v>333</v>
      </c>
      <c r="E12" t="s">
        <v>355</v>
      </c>
      <c r="F12" s="31" t="s">
        <v>356</v>
      </c>
    </row>
    <row r="13" spans="2:6" x14ac:dyDescent="0.3">
      <c r="B13" t="s">
        <v>347</v>
      </c>
      <c r="C13" s="38">
        <v>44309</v>
      </c>
      <c r="D13" t="s">
        <v>357</v>
      </c>
      <c r="E13" t="s">
        <v>358</v>
      </c>
      <c r="F13" s="31" t="s">
        <v>359</v>
      </c>
    </row>
    <row r="16" spans="2:6" x14ac:dyDescent="0.3">
      <c r="B16">
        <v>2022</v>
      </c>
    </row>
    <row r="17" spans="2:6" x14ac:dyDescent="0.3">
      <c r="B17" t="s">
        <v>347</v>
      </c>
      <c r="C17" s="38">
        <v>44650</v>
      </c>
      <c r="D17" t="s">
        <v>348</v>
      </c>
      <c r="E17" t="s">
        <v>366</v>
      </c>
      <c r="F17" s="31" t="s">
        <v>367</v>
      </c>
    </row>
    <row r="18" spans="2:6" ht="72" x14ac:dyDescent="0.3">
      <c r="B18" t="s">
        <v>347</v>
      </c>
      <c r="C18" s="38">
        <v>44650</v>
      </c>
      <c r="D18" t="s">
        <v>348</v>
      </c>
      <c r="E18" t="s">
        <v>396</v>
      </c>
      <c r="F18" s="31" t="s">
        <v>397</v>
      </c>
    </row>
    <row r="19" spans="2:6" x14ac:dyDescent="0.3">
      <c r="B19" t="s">
        <v>347</v>
      </c>
      <c r="C19" s="38">
        <v>44664</v>
      </c>
      <c r="D19" t="s">
        <v>384</v>
      </c>
      <c r="F19" s="31" t="s">
        <v>385</v>
      </c>
    </row>
    <row r="20" spans="2:6" x14ac:dyDescent="0.3">
      <c r="B20" t="s">
        <v>347</v>
      </c>
      <c r="C20" s="38">
        <v>44686</v>
      </c>
      <c r="D20" t="s">
        <v>348</v>
      </c>
      <c r="E20" t="s">
        <v>351</v>
      </c>
      <c r="F20" s="31" t="s">
        <v>388</v>
      </c>
    </row>
    <row r="21" spans="2:6" x14ac:dyDescent="0.3">
      <c r="B21" t="s">
        <v>347</v>
      </c>
      <c r="C21" s="38">
        <v>44686</v>
      </c>
      <c r="D21" t="s">
        <v>348</v>
      </c>
      <c r="E21" t="s">
        <v>369</v>
      </c>
      <c r="F21" s="31" t="s">
        <v>389</v>
      </c>
    </row>
    <row r="22" spans="2:6" x14ac:dyDescent="0.3">
      <c r="B22" t="s">
        <v>347</v>
      </c>
      <c r="C22" s="38">
        <v>44686</v>
      </c>
      <c r="D22" t="s">
        <v>348</v>
      </c>
      <c r="E22" t="s">
        <v>390</v>
      </c>
      <c r="F22" s="31" t="s">
        <v>391</v>
      </c>
    </row>
    <row r="23" spans="2:6" x14ac:dyDescent="0.3">
      <c r="B23" t="s">
        <v>347</v>
      </c>
      <c r="C23" s="38">
        <v>44686</v>
      </c>
      <c r="D23" t="s">
        <v>348</v>
      </c>
      <c r="E23" t="s">
        <v>392</v>
      </c>
      <c r="F23" s="31" t="s">
        <v>393</v>
      </c>
    </row>
    <row r="24" spans="2:6" x14ac:dyDescent="0.3">
      <c r="B24" t="s">
        <v>347</v>
      </c>
      <c r="C24" s="38">
        <v>44686</v>
      </c>
      <c r="D24" t="s">
        <v>348</v>
      </c>
      <c r="E24" t="s">
        <v>394</v>
      </c>
      <c r="F24" s="31" t="s">
        <v>395</v>
      </c>
    </row>
    <row r="25" spans="2:6" x14ac:dyDescent="0.3">
      <c r="B25" t="s">
        <v>347</v>
      </c>
      <c r="C25" s="38">
        <v>44686</v>
      </c>
      <c r="D25" t="s">
        <v>384</v>
      </c>
      <c r="E25" t="s">
        <v>398</v>
      </c>
      <c r="F25" s="31" t="s">
        <v>466</v>
      </c>
    </row>
    <row r="26" spans="2:6" x14ac:dyDescent="0.3">
      <c r="B26" t="s">
        <v>347</v>
      </c>
      <c r="C26" s="38">
        <v>44686</v>
      </c>
      <c r="D26" t="s">
        <v>384</v>
      </c>
      <c r="E26" t="s">
        <v>399</v>
      </c>
      <c r="F26" s="31" t="s">
        <v>467</v>
      </c>
    </row>
    <row r="27" spans="2:6" x14ac:dyDescent="0.3">
      <c r="B27" t="s">
        <v>347</v>
      </c>
      <c r="C27" s="38">
        <v>44693</v>
      </c>
      <c r="D27" t="s">
        <v>357</v>
      </c>
      <c r="E27" t="s">
        <v>403</v>
      </c>
      <c r="F27" s="31" t="s">
        <v>404</v>
      </c>
    </row>
    <row r="28" spans="2:6" x14ac:dyDescent="0.3">
      <c r="B28" t="s">
        <v>347</v>
      </c>
      <c r="C28" s="38">
        <v>44693</v>
      </c>
      <c r="D28" t="s">
        <v>348</v>
      </c>
      <c r="E28" t="s">
        <v>405</v>
      </c>
      <c r="F28" s="31" t="s">
        <v>406</v>
      </c>
    </row>
    <row r="29" spans="2:6" x14ac:dyDescent="0.3">
      <c r="B29" t="s">
        <v>347</v>
      </c>
      <c r="C29" s="38">
        <v>44699</v>
      </c>
      <c r="D29" t="s">
        <v>348</v>
      </c>
      <c r="E29" t="s">
        <v>369</v>
      </c>
      <c r="F29" s="31" t="s">
        <v>407</v>
      </c>
    </row>
    <row r="30" spans="2:6" x14ac:dyDescent="0.3">
      <c r="B30" t="s">
        <v>339</v>
      </c>
      <c r="C30" s="38">
        <v>44747</v>
      </c>
      <c r="D30" t="s">
        <v>384</v>
      </c>
      <c r="F30" s="31" t="s">
        <v>491</v>
      </c>
    </row>
    <row r="31" spans="2:6" x14ac:dyDescent="0.3">
      <c r="B31" t="s">
        <v>339</v>
      </c>
      <c r="C31" s="38">
        <v>44747</v>
      </c>
      <c r="D31" t="s">
        <v>384</v>
      </c>
      <c r="E31" t="s">
        <v>504</v>
      </c>
      <c r="F31" s="31" t="s">
        <v>505</v>
      </c>
    </row>
    <row r="32" spans="2:6" ht="28.8" x14ac:dyDescent="0.3">
      <c r="B32" t="s">
        <v>339</v>
      </c>
      <c r="C32" s="38">
        <v>44747</v>
      </c>
      <c r="D32" t="s">
        <v>384</v>
      </c>
      <c r="E32" t="s">
        <v>504</v>
      </c>
      <c r="F32" s="31" t="s">
        <v>506</v>
      </c>
    </row>
    <row r="33" spans="2:6" x14ac:dyDescent="0.3">
      <c r="B33" t="s">
        <v>339</v>
      </c>
      <c r="C33" s="38">
        <v>44755</v>
      </c>
      <c r="D33" t="s">
        <v>384</v>
      </c>
      <c r="E33" t="s">
        <v>398</v>
      </c>
      <c r="F33" s="31" t="s">
        <v>503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b48abb86-6b75-4cc9-8ac7-293f3cb026c9" xsi:nil="true"/>
    <Workingon xmlns="b48abb86-6b75-4cc9-8ac7-293f3cb026c9">
      <UserInfo>
        <DisplayName/>
        <AccountId xsi:nil="true"/>
        <AccountType/>
      </UserInfo>
    </Workingon>
    <SharedWithUsers xmlns="b2b8bedc-0fcb-47cf-97d0-3e95d67c491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B365957C7CB40992C2FD98AC36155" ma:contentTypeVersion="12" ma:contentTypeDescription="Create a new document." ma:contentTypeScope="" ma:versionID="b2816d0ef92202c65df612e814dd258a">
  <xsd:schema xmlns:xsd="http://www.w3.org/2001/XMLSchema" xmlns:xs="http://www.w3.org/2001/XMLSchema" xmlns:p="http://schemas.microsoft.com/office/2006/metadata/properties" xmlns:ns2="b48abb86-6b75-4cc9-8ac7-293f3cb026c9" xmlns:ns3="b2b8bedc-0fcb-47cf-97d0-3e95d67c491f" targetNamespace="http://schemas.microsoft.com/office/2006/metadata/properties" ma:root="true" ma:fieldsID="c75008b61cef3e70b590bf96d7308de9" ns2:_="" ns3:_="">
    <xsd:import namespace="b48abb86-6b75-4cc9-8ac7-293f3cb026c9"/>
    <xsd:import namespace="b2b8bedc-0fcb-47cf-97d0-3e95d67c4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Workingon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abb86-6b75-4cc9-8ac7-293f3cb02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Workingon" ma:index="18" nillable="true" ma:displayName="Working on" ma:description="Who is working on the document" ma:format="Dropdown" ma:list="UserInfo" ma:SharePointGroup="0" ma:internalName="Working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bedc-0fcb-47cf-97d0-3e95d67c4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D806A4-61D9-4E70-89CD-65DE816242A7}">
  <ds:schemaRefs>
    <ds:schemaRef ds:uri="http://schemas.microsoft.com/office/infopath/2007/PartnerControls"/>
    <ds:schemaRef ds:uri="b48abb86-6b75-4cc9-8ac7-293f3cb026c9"/>
    <ds:schemaRef ds:uri="http://schemas.microsoft.com/office/2006/metadata/properties"/>
    <ds:schemaRef ds:uri="http://purl.org/dc/elements/1.1/"/>
    <ds:schemaRef ds:uri="http://purl.org/dc/terms/"/>
    <ds:schemaRef ds:uri="b2b8bedc-0fcb-47cf-97d0-3e95d67c491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B53656-8AE5-489F-85B5-D742E090A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61D04-3920-4797-9706-EF8B35254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8abb86-6b75-4cc9-8ac7-293f3cb026c9"/>
    <ds:schemaRef ds:uri="b2b8bedc-0fcb-47cf-97d0-3e95d67c4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RECC</vt:lpstr>
      <vt:lpstr>IRP Inputs</vt:lpstr>
      <vt:lpstr>Battery Costs</vt:lpstr>
      <vt:lpstr>Pro Forma</vt:lpstr>
      <vt:lpstr>References</vt:lpstr>
      <vt:lpstr>Change Log</vt:lpstr>
      <vt:lpstr>dollar_year</vt:lpstr>
      <vt:lpstr>duration</vt:lpstr>
      <vt:lpstr>inflation_rate</vt:lpstr>
      <vt:lpstr>lifetime</vt:lpstr>
      <vt:lpstr>nominal_discount_rate</vt:lpstr>
      <vt:lpstr>real_discount_rate</vt:lpstr>
      <vt:lpstr>yearID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Cutter</dc:creator>
  <cp:keywords/>
  <dc:description/>
  <cp:lastModifiedBy>Sumin Wang</cp:lastModifiedBy>
  <cp:revision/>
  <dcterms:created xsi:type="dcterms:W3CDTF">2020-04-23T22:41:59Z</dcterms:created>
  <dcterms:modified xsi:type="dcterms:W3CDTF">2022-08-11T19:13:56Z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0x010100685B365957C7CB40992C2FD98AC36155</vt:lpwstr>
  </property>
  <property fmtid="{D5CDD505-2E9C-101B-9397-08002B2CF9AE}" pid="3" name="{A44787D4-0540-4523-9961-78E4036D8C6D}">
    <vt:lpwstr>{29011BCD-9810-4FE4-BF91-FFD64CECF023}</vt:lpwstr>
  </property>
  <property fmtid="{D5CDD505-2E9C-101B-9397-08002B2CF9AE}" pid="4" name="Order">
    <vt:r8>76500</vt:r8>
  </property>
  <property fmtid="{D5CDD505-2E9C-101B-9397-08002B2CF9AE}" pid="5" name="ComplianceAssetId">
    <vt:lpwstr/>
  </property>
</Properties>
</file>